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3"/>
  </bookViews>
  <sheets>
    <sheet name="Лист1" sheetId="1" r:id="rId1"/>
    <sheet name="День 1" sheetId="2" r:id="rId2"/>
    <sheet name="День 8" sheetId="3" r:id="rId3"/>
    <sheet name="День 2" sheetId="4" r:id="rId4"/>
    <sheet name="День 5" sheetId="5" r:id="rId5"/>
    <sheet name="День 4" sheetId="6" r:id="rId6"/>
    <sheet name="День 6" sheetId="7" r:id="rId7"/>
    <sheet name="День 7" sheetId="8" r:id="rId8"/>
    <sheet name="День 9" sheetId="9" r:id="rId9"/>
    <sheet name="День 3" sheetId="10" r:id="rId10"/>
    <sheet name="День 10" sheetId="11" r:id="rId11"/>
  </sheets>
  <calcPr calcId="145621"/>
</workbook>
</file>

<file path=xl/calcChain.xml><?xml version="1.0" encoding="utf-8"?>
<calcChain xmlns="http://schemas.openxmlformats.org/spreadsheetml/2006/main">
  <c r="E41" i="4" l="1"/>
  <c r="D23" i="9"/>
  <c r="F23" i="9"/>
  <c r="E23" i="9"/>
  <c r="C23" i="9"/>
  <c r="E45" i="10"/>
  <c r="F27" i="10"/>
  <c r="E27" i="10"/>
  <c r="F25" i="10"/>
  <c r="E25" i="10"/>
  <c r="D25" i="10"/>
  <c r="C25" i="10"/>
  <c r="F19" i="10"/>
  <c r="E19" i="10"/>
  <c r="D19" i="10"/>
  <c r="C19" i="10"/>
  <c r="F20" i="3"/>
  <c r="E20" i="3"/>
  <c r="C20" i="3"/>
  <c r="D20" i="3"/>
  <c r="F33" i="4"/>
  <c r="E33" i="4"/>
  <c r="D33" i="4"/>
  <c r="C33" i="4"/>
  <c r="F66" i="3" l="1"/>
  <c r="E66" i="3"/>
  <c r="D66" i="3"/>
  <c r="C66" i="3"/>
  <c r="F61" i="10" l="1"/>
  <c r="E61" i="10"/>
  <c r="D61" i="10"/>
  <c r="C61" i="10"/>
  <c r="F59" i="10"/>
  <c r="E59" i="10"/>
  <c r="D59" i="10"/>
  <c r="C59" i="10"/>
  <c r="F64" i="10"/>
  <c r="E64" i="10"/>
  <c r="D64" i="10"/>
  <c r="C64" i="10"/>
  <c r="F65" i="3" l="1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F67" i="3" s="1"/>
  <c r="E61" i="3"/>
  <c r="E67" i="3" s="1"/>
  <c r="D61" i="3"/>
  <c r="C61" i="3"/>
  <c r="C67" i="3" s="1"/>
  <c r="D67" i="3" l="1"/>
  <c r="F59" i="6"/>
  <c r="D28" i="3" l="1"/>
  <c r="F52" i="11" l="1"/>
  <c r="E52" i="11"/>
  <c r="D52" i="11"/>
  <c r="C52" i="11"/>
  <c r="F51" i="11"/>
  <c r="E51" i="11"/>
  <c r="D51" i="11"/>
  <c r="C51" i="11"/>
  <c r="F50" i="11"/>
  <c r="E50" i="11"/>
  <c r="D50" i="11"/>
  <c r="C50" i="11"/>
  <c r="F46" i="9"/>
  <c r="E46" i="9"/>
  <c r="D46" i="9"/>
  <c r="C46" i="9"/>
  <c r="F45" i="9"/>
  <c r="E45" i="9"/>
  <c r="D45" i="9"/>
  <c r="C45" i="9"/>
  <c r="F44" i="9"/>
  <c r="F47" i="9" s="1"/>
  <c r="E44" i="9"/>
  <c r="E47" i="9" s="1"/>
  <c r="D44" i="9"/>
  <c r="D47" i="9" s="1"/>
  <c r="C44" i="9"/>
  <c r="C47" i="9" s="1"/>
  <c r="G60" i="11" l="1"/>
  <c r="F59" i="11"/>
  <c r="E59" i="11"/>
  <c r="D59" i="11"/>
  <c r="D60" i="11" s="1"/>
  <c r="C59" i="11"/>
  <c r="F58" i="11"/>
  <c r="F60" i="11" s="1"/>
  <c r="E58" i="11"/>
  <c r="D58" i="11"/>
  <c r="C58" i="11"/>
  <c r="C60" i="11" s="1"/>
  <c r="E60" i="11" l="1"/>
  <c r="F63" i="8"/>
  <c r="E62" i="8"/>
  <c r="D62" i="8"/>
  <c r="C62" i="8"/>
  <c r="F63" i="10"/>
  <c r="E63" i="10"/>
  <c r="D63" i="10"/>
  <c r="C63" i="10"/>
  <c r="F62" i="10"/>
  <c r="E62" i="10"/>
  <c r="D62" i="10"/>
  <c r="C62" i="10"/>
  <c r="F60" i="10"/>
  <c r="E60" i="10"/>
  <c r="E65" i="10" s="1"/>
  <c r="D60" i="10"/>
  <c r="D65" i="10" s="1"/>
  <c r="C60" i="10"/>
  <c r="C65" i="10" s="1"/>
  <c r="F56" i="10"/>
  <c r="E56" i="10"/>
  <c r="D56" i="10"/>
  <c r="C56" i="10"/>
  <c r="F55" i="10"/>
  <c r="E55" i="10"/>
  <c r="D55" i="10"/>
  <c r="C55" i="10"/>
  <c r="F54" i="10"/>
  <c r="E54" i="10"/>
  <c r="E57" i="10" s="1"/>
  <c r="D54" i="10"/>
  <c r="D57" i="10" s="1"/>
  <c r="C54" i="10"/>
  <c r="F65" i="10" l="1"/>
  <c r="F57" i="10"/>
  <c r="C57" i="10"/>
  <c r="D66" i="10"/>
  <c r="E66" i="10"/>
  <c r="F64" i="9"/>
  <c r="E64" i="9"/>
  <c r="D64" i="9"/>
  <c r="C64" i="9"/>
  <c r="F63" i="9"/>
  <c r="E63" i="9"/>
  <c r="D63" i="9"/>
  <c r="C63" i="9"/>
  <c r="F61" i="9"/>
  <c r="E61" i="9"/>
  <c r="D61" i="9"/>
  <c r="C61" i="9"/>
  <c r="F60" i="9"/>
  <c r="E60" i="9"/>
  <c r="D60" i="9"/>
  <c r="C60" i="9"/>
  <c r="F59" i="9"/>
  <c r="E59" i="9"/>
  <c r="D59" i="9"/>
  <c r="C59" i="9"/>
  <c r="F58" i="9"/>
  <c r="E58" i="9"/>
  <c r="D58" i="9"/>
  <c r="C58" i="9"/>
  <c r="F57" i="9"/>
  <c r="E57" i="9"/>
  <c r="E65" i="9" s="1"/>
  <c r="D57" i="9"/>
  <c r="D65" i="9" s="1"/>
  <c r="D66" i="9" s="1"/>
  <c r="C57" i="9"/>
  <c r="C65" i="9" s="1"/>
  <c r="C66" i="9" s="1"/>
  <c r="F54" i="9"/>
  <c r="F55" i="9" s="1"/>
  <c r="E54" i="9"/>
  <c r="E55" i="9" s="1"/>
  <c r="E66" i="9" s="1"/>
  <c r="D54" i="9"/>
  <c r="C54" i="9"/>
  <c r="F53" i="9"/>
  <c r="E53" i="9"/>
  <c r="D53" i="9"/>
  <c r="C53" i="9"/>
  <c r="F15" i="9"/>
  <c r="E15" i="9"/>
  <c r="D15" i="9"/>
  <c r="C15" i="9"/>
  <c r="F14" i="9"/>
  <c r="E14" i="9"/>
  <c r="D14" i="9"/>
  <c r="C14" i="9"/>
  <c r="F13" i="9"/>
  <c r="E13" i="9"/>
  <c r="D13" i="9"/>
  <c r="C13" i="9"/>
  <c r="F11" i="9"/>
  <c r="E11" i="9"/>
  <c r="D11" i="9"/>
  <c r="C11" i="9"/>
  <c r="F10" i="9"/>
  <c r="E10" i="9"/>
  <c r="D10" i="9"/>
  <c r="C10" i="9"/>
  <c r="F9" i="9"/>
  <c r="E9" i="9"/>
  <c r="D9" i="9"/>
  <c r="D12" i="9" s="1"/>
  <c r="C9" i="9"/>
  <c r="C12" i="9" s="1"/>
  <c r="F6" i="9"/>
  <c r="E6" i="9"/>
  <c r="D6" i="9"/>
  <c r="C6" i="9"/>
  <c r="F5" i="9"/>
  <c r="E5" i="9"/>
  <c r="D5" i="9"/>
  <c r="C5" i="9"/>
  <c r="F4" i="9"/>
  <c r="E4" i="9"/>
  <c r="D4" i="9"/>
  <c r="C4" i="9"/>
  <c r="F3" i="9"/>
  <c r="E3" i="9"/>
  <c r="E7" i="9" s="1"/>
  <c r="D3" i="9"/>
  <c r="C3" i="9"/>
  <c r="C7" i="9" s="1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F45" i="7" s="1"/>
  <c r="E40" i="7"/>
  <c r="D40" i="7"/>
  <c r="D45" i="7" s="1"/>
  <c r="C40" i="7"/>
  <c r="F33" i="7"/>
  <c r="D33" i="7"/>
  <c r="C33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68" i="8"/>
  <c r="E68" i="8"/>
  <c r="D68" i="8"/>
  <c r="C68" i="8"/>
  <c r="F67" i="8"/>
  <c r="E67" i="8"/>
  <c r="D67" i="8"/>
  <c r="C67" i="8"/>
  <c r="F66" i="8"/>
  <c r="F69" i="8" s="1"/>
  <c r="E66" i="8"/>
  <c r="E69" i="8" s="1"/>
  <c r="D66" i="8"/>
  <c r="C66" i="8"/>
  <c r="C69" i="8" s="1"/>
  <c r="F6" i="8"/>
  <c r="E6" i="8"/>
  <c r="D6" i="8"/>
  <c r="C6" i="8"/>
  <c r="F5" i="8"/>
  <c r="E5" i="8"/>
  <c r="D5" i="8"/>
  <c r="C5" i="8"/>
  <c r="F4" i="8"/>
  <c r="E4" i="8"/>
  <c r="D4" i="8"/>
  <c r="C4" i="8"/>
  <c r="F3" i="8"/>
  <c r="E3" i="8"/>
  <c r="E7" i="8" s="1"/>
  <c r="D3" i="8"/>
  <c r="C3" i="8"/>
  <c r="C7" i="8" s="1"/>
  <c r="F32" i="8"/>
  <c r="E32" i="8"/>
  <c r="D32" i="8"/>
  <c r="C32" i="8"/>
  <c r="F38" i="7" l="1"/>
  <c r="F65" i="9"/>
  <c r="F66" i="9" s="1"/>
  <c r="F12" i="9"/>
  <c r="D7" i="9"/>
  <c r="D16" i="9" s="1"/>
  <c r="D69" i="8"/>
  <c r="F7" i="8"/>
  <c r="E45" i="7"/>
  <c r="C45" i="7"/>
  <c r="E38" i="7"/>
  <c r="F7" i="9"/>
  <c r="F66" i="10"/>
  <c r="E12" i="9"/>
  <c r="E16" i="9" s="1"/>
  <c r="C66" i="10"/>
  <c r="C16" i="9"/>
  <c r="C38" i="7"/>
  <c r="D38" i="7"/>
  <c r="D7" i="8"/>
  <c r="E63" i="8"/>
  <c r="D63" i="8"/>
  <c r="C63" i="8"/>
  <c r="F62" i="8"/>
  <c r="F61" i="8"/>
  <c r="E61" i="8"/>
  <c r="D61" i="8"/>
  <c r="C61" i="8"/>
  <c r="F60" i="8"/>
  <c r="E60" i="8"/>
  <c r="D60" i="8"/>
  <c r="C60" i="8"/>
  <c r="F59" i="8"/>
  <c r="E59" i="8"/>
  <c r="D59" i="8"/>
  <c r="C59" i="8"/>
  <c r="F58" i="8"/>
  <c r="E58" i="8"/>
  <c r="D58" i="8"/>
  <c r="C58" i="8"/>
  <c r="F57" i="8"/>
  <c r="E57" i="8"/>
  <c r="D57" i="8"/>
  <c r="C57" i="8"/>
  <c r="F56" i="8"/>
  <c r="E56" i="8"/>
  <c r="D56" i="8"/>
  <c r="C56" i="8"/>
  <c r="F55" i="8"/>
  <c r="E55" i="8"/>
  <c r="D55" i="8"/>
  <c r="C55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E41" i="8" s="1"/>
  <c r="D33" i="8"/>
  <c r="C33" i="8"/>
  <c r="C41" i="8"/>
  <c r="C42" i="8"/>
  <c r="D42" i="8"/>
  <c r="E42" i="8"/>
  <c r="F42" i="8"/>
  <c r="C43" i="8"/>
  <c r="D43" i="8"/>
  <c r="E43" i="8"/>
  <c r="F43" i="8"/>
  <c r="C44" i="8"/>
  <c r="E44" i="8"/>
  <c r="C46" i="8"/>
  <c r="D46" i="8"/>
  <c r="E46" i="8"/>
  <c r="F46" i="8"/>
  <c r="C47" i="8"/>
  <c r="D47" i="8"/>
  <c r="E47" i="8"/>
  <c r="F47" i="8"/>
  <c r="D48" i="8"/>
  <c r="D44" i="8" l="1"/>
  <c r="F16" i="9"/>
  <c r="C64" i="8"/>
  <c r="C70" i="8" s="1"/>
  <c r="F64" i="8"/>
  <c r="F70" i="8" s="1"/>
  <c r="F48" i="8"/>
  <c r="E48" i="8"/>
  <c r="C48" i="8"/>
  <c r="D41" i="8"/>
  <c r="F41" i="8"/>
  <c r="D64" i="8"/>
  <c r="D70" i="8" s="1"/>
  <c r="F44" i="8"/>
  <c r="E64" i="8"/>
  <c r="E70" i="8" s="1"/>
  <c r="F16" i="7"/>
  <c r="E16" i="7"/>
  <c r="D16" i="7"/>
  <c r="C16" i="7"/>
  <c r="F58" i="7"/>
  <c r="E58" i="7"/>
  <c r="D58" i="7"/>
  <c r="C58" i="7"/>
  <c r="F56" i="7"/>
  <c r="F59" i="7" s="1"/>
  <c r="E56" i="7"/>
  <c r="E59" i="7" s="1"/>
  <c r="D56" i="7"/>
  <c r="D59" i="7" s="1"/>
  <c r="C56" i="7"/>
  <c r="C59" i="7" s="1"/>
  <c r="F6" i="6"/>
  <c r="E6" i="6"/>
  <c r="D6" i="6"/>
  <c r="C6" i="6"/>
  <c r="F5" i="6"/>
  <c r="E5" i="6"/>
  <c r="D5" i="6"/>
  <c r="C5" i="6"/>
  <c r="F4" i="6"/>
  <c r="E4" i="6"/>
  <c r="D4" i="6"/>
  <c r="C4" i="6"/>
  <c r="F3" i="6"/>
  <c r="E3" i="6"/>
  <c r="D3" i="6"/>
  <c r="D7" i="6" s="1"/>
  <c r="C3" i="6"/>
  <c r="C7" i="6" s="1"/>
  <c r="F63" i="6"/>
  <c r="E63" i="6"/>
  <c r="D63" i="6"/>
  <c r="C63" i="6"/>
  <c r="F61" i="6"/>
  <c r="E61" i="6"/>
  <c r="D61" i="6"/>
  <c r="C61" i="6"/>
  <c r="F60" i="6"/>
  <c r="E60" i="6"/>
  <c r="D60" i="6"/>
  <c r="C60" i="6"/>
  <c r="F62" i="6"/>
  <c r="E59" i="6"/>
  <c r="E62" i="6" s="1"/>
  <c r="D59" i="6"/>
  <c r="D62" i="6" s="1"/>
  <c r="C59" i="6"/>
  <c r="C62" i="6" s="1"/>
  <c r="F56" i="6"/>
  <c r="E56" i="6"/>
  <c r="D56" i="6"/>
  <c r="C56" i="6"/>
  <c r="F55" i="6"/>
  <c r="F57" i="6" s="1"/>
  <c r="E55" i="6"/>
  <c r="E57" i="6" s="1"/>
  <c r="D55" i="6"/>
  <c r="C55" i="6"/>
  <c r="F54" i="6"/>
  <c r="E54" i="6"/>
  <c r="D54" i="6"/>
  <c r="D57" i="6" s="1"/>
  <c r="C54" i="6"/>
  <c r="C57" i="6" s="1"/>
  <c r="F42" i="5"/>
  <c r="F43" i="5" s="1"/>
  <c r="E42" i="5"/>
  <c r="E43" i="5" s="1"/>
  <c r="D42" i="5"/>
  <c r="D43" i="5" s="1"/>
  <c r="C42" i="5"/>
  <c r="C43" i="5" s="1"/>
  <c r="F23" i="5"/>
  <c r="E23" i="5"/>
  <c r="F65" i="5"/>
  <c r="E65" i="5"/>
  <c r="D65" i="5"/>
  <c r="C65" i="5"/>
  <c r="F64" i="5"/>
  <c r="E64" i="5"/>
  <c r="D64" i="5"/>
  <c r="C64" i="5"/>
  <c r="F62" i="5"/>
  <c r="E62" i="5"/>
  <c r="D62" i="5"/>
  <c r="C62" i="5"/>
  <c r="F61" i="5"/>
  <c r="E61" i="5"/>
  <c r="D61" i="5"/>
  <c r="C61" i="5"/>
  <c r="F60" i="5"/>
  <c r="E60" i="5"/>
  <c r="D60" i="5"/>
  <c r="C60" i="5"/>
  <c r="F59" i="5"/>
  <c r="E59" i="5"/>
  <c r="D59" i="5"/>
  <c r="C59" i="5"/>
  <c r="F58" i="5"/>
  <c r="F66" i="5" s="1"/>
  <c r="E58" i="5"/>
  <c r="D58" i="5"/>
  <c r="D66" i="5" s="1"/>
  <c r="C58" i="5"/>
  <c r="F55" i="5"/>
  <c r="E55" i="5"/>
  <c r="D55" i="5"/>
  <c r="C55" i="5"/>
  <c r="F54" i="5"/>
  <c r="E54" i="5"/>
  <c r="D54" i="5"/>
  <c r="C54" i="5"/>
  <c r="F53" i="5"/>
  <c r="E53" i="5"/>
  <c r="E56" i="5" s="1"/>
  <c r="D53" i="5"/>
  <c r="D56" i="5" s="1"/>
  <c r="D67" i="5" s="1"/>
  <c r="C53" i="5"/>
  <c r="F52" i="5"/>
  <c r="E52" i="5"/>
  <c r="D52" i="5"/>
  <c r="C52" i="5"/>
  <c r="C56" i="5" s="1"/>
  <c r="F47" i="5"/>
  <c r="E47" i="5"/>
  <c r="D47" i="5"/>
  <c r="C47" i="5"/>
  <c r="F25" i="4"/>
  <c r="F14" i="4"/>
  <c r="E14" i="4"/>
  <c r="D14" i="4"/>
  <c r="C14" i="4"/>
  <c r="C13" i="4"/>
  <c r="D13" i="4"/>
  <c r="E13" i="4"/>
  <c r="F13" i="4"/>
  <c r="F56" i="4"/>
  <c r="F57" i="4" s="1"/>
  <c r="E56" i="4"/>
  <c r="E57" i="4" s="1"/>
  <c r="D56" i="4"/>
  <c r="C56" i="4"/>
  <c r="F55" i="4"/>
  <c r="E55" i="4"/>
  <c r="D55" i="4"/>
  <c r="C55" i="4"/>
  <c r="F6" i="4"/>
  <c r="E6" i="4"/>
  <c r="D6" i="4"/>
  <c r="C6" i="4"/>
  <c r="F5" i="4"/>
  <c r="E5" i="4"/>
  <c r="D5" i="4"/>
  <c r="C5" i="4"/>
  <c r="F4" i="4"/>
  <c r="E4" i="4"/>
  <c r="D4" i="4"/>
  <c r="C4" i="4"/>
  <c r="F3" i="4"/>
  <c r="F7" i="4" s="1"/>
  <c r="E3" i="4"/>
  <c r="E7" i="4" s="1"/>
  <c r="D3" i="4"/>
  <c r="D7" i="4" s="1"/>
  <c r="C3" i="4"/>
  <c r="F67" i="4"/>
  <c r="E67" i="4"/>
  <c r="D67" i="4"/>
  <c r="C67" i="4"/>
  <c r="F66" i="4"/>
  <c r="E66" i="4"/>
  <c r="D66" i="4"/>
  <c r="C66" i="4"/>
  <c r="F65" i="4"/>
  <c r="E65" i="4"/>
  <c r="D65" i="4"/>
  <c r="C65" i="4"/>
  <c r="F64" i="4"/>
  <c r="E64" i="4"/>
  <c r="D64" i="4"/>
  <c r="C64" i="4"/>
  <c r="F63" i="4"/>
  <c r="E63" i="4"/>
  <c r="D63" i="4"/>
  <c r="C63" i="4"/>
  <c r="F62" i="4"/>
  <c r="E62" i="4"/>
  <c r="D62" i="4"/>
  <c r="C62" i="4"/>
  <c r="F61" i="4"/>
  <c r="E61" i="4"/>
  <c r="D61" i="4"/>
  <c r="C61" i="4"/>
  <c r="F60" i="4"/>
  <c r="E60" i="4"/>
  <c r="D60" i="4"/>
  <c r="C60" i="4"/>
  <c r="F59" i="4"/>
  <c r="E59" i="4"/>
  <c r="D59" i="4"/>
  <c r="C59" i="4"/>
  <c r="C68" i="4" s="1"/>
  <c r="F46" i="3"/>
  <c r="F47" i="3" s="1"/>
  <c r="E46" i="3"/>
  <c r="E47" i="3" s="1"/>
  <c r="D46" i="3"/>
  <c r="D47" i="3" s="1"/>
  <c r="C46" i="3"/>
  <c r="C47" i="3" s="1"/>
  <c r="E7" i="6" l="1"/>
  <c r="F7" i="6"/>
  <c r="F68" i="4"/>
  <c r="C7" i="4"/>
  <c r="F56" i="5"/>
  <c r="F67" i="5" s="1"/>
  <c r="C64" i="6"/>
  <c r="E64" i="6"/>
  <c r="D64" i="6"/>
  <c r="F64" i="6"/>
  <c r="C66" i="5"/>
  <c r="C67" i="5" s="1"/>
  <c r="E66" i="5"/>
  <c r="E67" i="5" s="1"/>
  <c r="D68" i="4"/>
  <c r="E68" i="4"/>
  <c r="F58" i="3"/>
  <c r="E58" i="3"/>
  <c r="D58" i="3"/>
  <c r="C58" i="3"/>
  <c r="F57" i="3"/>
  <c r="F59" i="3" s="1"/>
  <c r="E57" i="3"/>
  <c r="E59" i="3" s="1"/>
  <c r="D57" i="3"/>
  <c r="C57" i="3"/>
  <c r="F56" i="3"/>
  <c r="E56" i="3"/>
  <c r="D56" i="3"/>
  <c r="D59" i="3" s="1"/>
  <c r="C56" i="3"/>
  <c r="C59" i="3" s="1"/>
  <c r="F69" i="2"/>
  <c r="E69" i="2"/>
  <c r="D69" i="2"/>
  <c r="C69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F70" i="2" s="1"/>
  <c r="E63" i="2"/>
  <c r="E70" i="2" s="1"/>
  <c r="D63" i="2"/>
  <c r="C63" i="2"/>
  <c r="F60" i="2"/>
  <c r="E60" i="2"/>
  <c r="D60" i="2"/>
  <c r="C60" i="2"/>
  <c r="F59" i="2"/>
  <c r="E59" i="2"/>
  <c r="D59" i="2"/>
  <c r="C59" i="2"/>
  <c r="F58" i="2"/>
  <c r="F61" i="2" s="1"/>
  <c r="F71" i="2" s="1"/>
  <c r="E58" i="2"/>
  <c r="E61" i="2" s="1"/>
  <c r="E71" i="2" s="1"/>
  <c r="D58" i="2"/>
  <c r="C58" i="2"/>
  <c r="C61" i="2" s="1"/>
  <c r="E68" i="3" l="1"/>
  <c r="C70" i="2"/>
  <c r="C71" i="2" s="1"/>
  <c r="D68" i="3"/>
  <c r="F68" i="3"/>
  <c r="D61" i="2"/>
  <c r="D70" i="2"/>
  <c r="C68" i="3"/>
  <c r="F43" i="6"/>
  <c r="E43" i="6"/>
  <c r="D43" i="6"/>
  <c r="C43" i="6"/>
  <c r="D71" i="2" l="1"/>
  <c r="C3" i="5"/>
  <c r="D3" i="5"/>
  <c r="E3" i="5"/>
  <c r="F3" i="5"/>
  <c r="C4" i="5"/>
  <c r="D4" i="5"/>
  <c r="E4" i="5"/>
  <c r="F4" i="5"/>
  <c r="C5" i="5"/>
  <c r="D5" i="5"/>
  <c r="E6" i="5"/>
  <c r="F6" i="5"/>
  <c r="F5" i="10" l="1"/>
  <c r="F5" i="2"/>
  <c r="F9" i="4"/>
  <c r="E9" i="4"/>
  <c r="D9" i="4"/>
  <c r="F36" i="5" l="1"/>
  <c r="E36" i="5"/>
  <c r="D36" i="5"/>
  <c r="C36" i="5"/>
  <c r="F29" i="2" l="1"/>
  <c r="E29" i="2"/>
  <c r="D29" i="2"/>
  <c r="C29" i="2"/>
  <c r="F38" i="3" l="1"/>
  <c r="E38" i="3"/>
  <c r="D38" i="3"/>
  <c r="C38" i="3"/>
  <c r="F45" i="5" l="1"/>
  <c r="E45" i="5"/>
  <c r="C45" i="5"/>
  <c r="F36" i="9" l="1"/>
  <c r="E36" i="9"/>
  <c r="D36" i="9"/>
  <c r="C36" i="9"/>
  <c r="F36" i="2" l="1"/>
  <c r="E36" i="2"/>
  <c r="D36" i="2"/>
  <c r="C36" i="2"/>
  <c r="F41" i="6"/>
  <c r="E41" i="6"/>
  <c r="D41" i="6"/>
  <c r="C41" i="6"/>
  <c r="F42" i="9"/>
  <c r="E42" i="9"/>
  <c r="D42" i="9"/>
  <c r="C42" i="9"/>
  <c r="F49" i="7"/>
  <c r="E49" i="7"/>
  <c r="D49" i="7"/>
  <c r="C49" i="7"/>
  <c r="F22" i="7" l="1"/>
  <c r="E22" i="7"/>
  <c r="D22" i="7"/>
  <c r="C22" i="7"/>
  <c r="F54" i="11" l="1"/>
  <c r="E54" i="11"/>
  <c r="D54" i="11"/>
  <c r="C54" i="11"/>
  <c r="F53" i="11"/>
  <c r="E53" i="11"/>
  <c r="D53" i="11"/>
  <c r="C53" i="11"/>
  <c r="F47" i="11"/>
  <c r="E47" i="11"/>
  <c r="D47" i="11"/>
  <c r="C47" i="11"/>
  <c r="F46" i="11"/>
  <c r="E46" i="11"/>
  <c r="D46" i="11"/>
  <c r="C46" i="11"/>
  <c r="F45" i="11"/>
  <c r="F48" i="11" s="1"/>
  <c r="E45" i="11"/>
  <c r="E48" i="11" s="1"/>
  <c r="D45" i="11"/>
  <c r="D48" i="11" s="1"/>
  <c r="C45" i="11"/>
  <c r="C48" i="11" s="1"/>
  <c r="F42" i="11"/>
  <c r="E42" i="11"/>
  <c r="D42" i="11"/>
  <c r="C42" i="11"/>
  <c r="F41" i="11"/>
  <c r="E41" i="11"/>
  <c r="D41" i="11"/>
  <c r="C41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E43" i="11" s="1"/>
  <c r="D35" i="11"/>
  <c r="C35" i="11"/>
  <c r="F34" i="11"/>
  <c r="F43" i="11" s="1"/>
  <c r="E34" i="11"/>
  <c r="D34" i="11"/>
  <c r="D43" i="11" s="1"/>
  <c r="C34" i="11"/>
  <c r="C43" i="11" s="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E32" i="11" s="1"/>
  <c r="D26" i="11"/>
  <c r="C26" i="11"/>
  <c r="F25" i="11"/>
  <c r="F32" i="11" s="1"/>
  <c r="E25" i="11"/>
  <c r="D25" i="11"/>
  <c r="D32" i="11" s="1"/>
  <c r="C25" i="11"/>
  <c r="C32" i="11" s="1"/>
  <c r="F21" i="11"/>
  <c r="E21" i="11"/>
  <c r="D21" i="11"/>
  <c r="C21" i="11"/>
  <c r="F18" i="11"/>
  <c r="E18" i="11"/>
  <c r="D18" i="11"/>
  <c r="C18" i="11"/>
  <c r="F17" i="11"/>
  <c r="E17" i="11"/>
  <c r="D17" i="11"/>
  <c r="C17" i="11"/>
  <c r="F15" i="11"/>
  <c r="E15" i="11"/>
  <c r="D15" i="11"/>
  <c r="C15" i="11"/>
  <c r="F14" i="11"/>
  <c r="E14" i="11"/>
  <c r="D14" i="11"/>
  <c r="C14" i="11"/>
  <c r="F13" i="11"/>
  <c r="F16" i="11" s="1"/>
  <c r="E13" i="11"/>
  <c r="E16" i="11" s="1"/>
  <c r="D13" i="11"/>
  <c r="D16" i="11" s="1"/>
  <c r="C13" i="11"/>
  <c r="C16" i="11" s="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F11" i="11" s="1"/>
  <c r="F19" i="11" s="1"/>
  <c r="E4" i="11"/>
  <c r="E11" i="11" s="1"/>
  <c r="E19" i="11" s="1"/>
  <c r="D4" i="11"/>
  <c r="D11" i="11" s="1"/>
  <c r="D19" i="11" s="1"/>
  <c r="C4" i="11"/>
  <c r="C11" i="11" s="1"/>
  <c r="C19" i="11" s="1"/>
  <c r="F49" i="10"/>
  <c r="E49" i="10"/>
  <c r="D49" i="10"/>
  <c r="C49" i="10"/>
  <c r="F48" i="10"/>
  <c r="E48" i="10"/>
  <c r="D48" i="10"/>
  <c r="C48" i="10"/>
  <c r="D47" i="10"/>
  <c r="F46" i="10"/>
  <c r="E46" i="10"/>
  <c r="D46" i="10"/>
  <c r="C46" i="10"/>
  <c r="F45" i="10"/>
  <c r="F47" i="10" s="1"/>
  <c r="E47" i="10"/>
  <c r="D45" i="10"/>
  <c r="C45" i="10"/>
  <c r="C47" i="10" s="1"/>
  <c r="F42" i="10"/>
  <c r="E42" i="10"/>
  <c r="D42" i="10"/>
  <c r="C42" i="10"/>
  <c r="F41" i="10"/>
  <c r="E41" i="10"/>
  <c r="D41" i="10"/>
  <c r="C41" i="10"/>
  <c r="F40" i="10"/>
  <c r="F43" i="10" s="1"/>
  <c r="E40" i="10"/>
  <c r="E43" i="10" s="1"/>
  <c r="D40" i="10"/>
  <c r="D43" i="10" s="1"/>
  <c r="C40" i="10"/>
  <c r="C43" i="10" s="1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F38" i="10" s="1"/>
  <c r="E32" i="10"/>
  <c r="E38" i="10" s="1"/>
  <c r="D32" i="10"/>
  <c r="D38" i="10" s="1"/>
  <c r="C32" i="10"/>
  <c r="C38" i="10" s="1"/>
  <c r="F29" i="10"/>
  <c r="E29" i="10"/>
  <c r="D29" i="10"/>
  <c r="C29" i="10"/>
  <c r="F28" i="10"/>
  <c r="E28" i="10"/>
  <c r="D28" i="10"/>
  <c r="C28" i="10"/>
  <c r="D27" i="10"/>
  <c r="C27" i="10"/>
  <c r="F26" i="10"/>
  <c r="E26" i="10"/>
  <c r="D26" i="10"/>
  <c r="C26" i="10"/>
  <c r="F24" i="10"/>
  <c r="E24" i="10"/>
  <c r="D24" i="10"/>
  <c r="C24" i="10"/>
  <c r="F23" i="10"/>
  <c r="F30" i="10" s="1"/>
  <c r="E23" i="10"/>
  <c r="E30" i="10" s="1"/>
  <c r="D23" i="10"/>
  <c r="D30" i="10" s="1"/>
  <c r="C23" i="10"/>
  <c r="C30" i="10" s="1"/>
  <c r="F16" i="10"/>
  <c r="E16" i="10"/>
  <c r="D16" i="10"/>
  <c r="C16" i="10"/>
  <c r="F15" i="10"/>
  <c r="E15" i="10"/>
  <c r="D15" i="10"/>
  <c r="C15" i="10"/>
  <c r="F14" i="10"/>
  <c r="E14" i="10"/>
  <c r="D14" i="10"/>
  <c r="C14" i="10"/>
  <c r="F12" i="10"/>
  <c r="E12" i="10"/>
  <c r="D12" i="10"/>
  <c r="C12" i="10"/>
  <c r="F11" i="10"/>
  <c r="F13" i="10" s="1"/>
  <c r="E11" i="10"/>
  <c r="E13" i="10" s="1"/>
  <c r="D11" i="10"/>
  <c r="D13" i="10" s="1"/>
  <c r="C11" i="10"/>
  <c r="C13" i="10" s="1"/>
  <c r="F10" i="10"/>
  <c r="E10" i="10"/>
  <c r="D10" i="10"/>
  <c r="C10" i="10"/>
  <c r="F7" i="10"/>
  <c r="E7" i="10"/>
  <c r="D7" i="10"/>
  <c r="C7" i="10"/>
  <c r="F6" i="10"/>
  <c r="E6" i="10"/>
  <c r="D6" i="10"/>
  <c r="C6" i="10"/>
  <c r="E5" i="10"/>
  <c r="D5" i="10"/>
  <c r="C5" i="10"/>
  <c r="F4" i="10"/>
  <c r="F8" i="10" s="1"/>
  <c r="F17" i="10" s="1"/>
  <c r="E4" i="10"/>
  <c r="D4" i="10"/>
  <c r="D8" i="10" s="1"/>
  <c r="D17" i="10" s="1"/>
  <c r="C4" i="10"/>
  <c r="F48" i="9"/>
  <c r="E48" i="9"/>
  <c r="D48" i="9"/>
  <c r="C48" i="9"/>
  <c r="F40" i="9"/>
  <c r="E40" i="9"/>
  <c r="D40" i="9"/>
  <c r="C40" i="9"/>
  <c r="F39" i="9"/>
  <c r="F41" i="9" s="1"/>
  <c r="E39" i="9"/>
  <c r="E41" i="9" s="1"/>
  <c r="D39" i="9"/>
  <c r="D41" i="9" s="1"/>
  <c r="C39" i="9"/>
  <c r="C41" i="9" s="1"/>
  <c r="F37" i="9"/>
  <c r="E37" i="9"/>
  <c r="D37" i="9"/>
  <c r="C37" i="9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F38" i="9" s="1"/>
  <c r="E30" i="9"/>
  <c r="E38" i="9" s="1"/>
  <c r="D30" i="9"/>
  <c r="D38" i="9" s="1"/>
  <c r="C30" i="9"/>
  <c r="C38" i="9" s="1"/>
  <c r="F27" i="9"/>
  <c r="E27" i="9"/>
  <c r="D27" i="9"/>
  <c r="C27" i="9"/>
  <c r="F26" i="9"/>
  <c r="E26" i="9"/>
  <c r="D26" i="9"/>
  <c r="C26" i="9"/>
  <c r="F25" i="9"/>
  <c r="E25" i="9"/>
  <c r="D25" i="9"/>
  <c r="C25" i="9"/>
  <c r="F24" i="9"/>
  <c r="E24" i="9"/>
  <c r="D24" i="9"/>
  <c r="C24" i="9"/>
  <c r="F22" i="9"/>
  <c r="F28" i="9" s="1"/>
  <c r="F49" i="9" s="1"/>
  <c r="E22" i="9"/>
  <c r="E28" i="9" s="1"/>
  <c r="D22" i="9"/>
  <c r="D28" i="9" s="1"/>
  <c r="D49" i="9" s="1"/>
  <c r="C22" i="9"/>
  <c r="C28" i="9" s="1"/>
  <c r="F18" i="9"/>
  <c r="E18" i="9"/>
  <c r="D18" i="9"/>
  <c r="C18" i="9"/>
  <c r="F17" i="9"/>
  <c r="E17" i="9"/>
  <c r="D17" i="9"/>
  <c r="C17" i="9"/>
  <c r="F50" i="8"/>
  <c r="E50" i="8"/>
  <c r="D50" i="8"/>
  <c r="C50" i="8"/>
  <c r="F49" i="8"/>
  <c r="E49" i="8"/>
  <c r="D49" i="8"/>
  <c r="C4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F29" i="8" s="1"/>
  <c r="E21" i="8"/>
  <c r="E29" i="8" s="1"/>
  <c r="D21" i="8"/>
  <c r="D29" i="8" s="1"/>
  <c r="C21" i="8"/>
  <c r="F17" i="8"/>
  <c r="E17" i="8"/>
  <c r="D17" i="8"/>
  <c r="C17" i="8"/>
  <c r="F14" i="8"/>
  <c r="E14" i="8"/>
  <c r="D14" i="8"/>
  <c r="C14" i="8"/>
  <c r="F13" i="8"/>
  <c r="E13" i="8"/>
  <c r="D13" i="8"/>
  <c r="C13" i="8"/>
  <c r="F11" i="8"/>
  <c r="E11" i="8"/>
  <c r="D11" i="8"/>
  <c r="C11" i="8"/>
  <c r="F10" i="8"/>
  <c r="E10" i="8"/>
  <c r="D10" i="8"/>
  <c r="C10" i="8"/>
  <c r="F9" i="8"/>
  <c r="F12" i="8" s="1"/>
  <c r="E9" i="8"/>
  <c r="E12" i="8" s="1"/>
  <c r="E15" i="8" s="1"/>
  <c r="D9" i="8"/>
  <c r="D12" i="8" s="1"/>
  <c r="D15" i="8" s="1"/>
  <c r="C9" i="8"/>
  <c r="C12" i="8" s="1"/>
  <c r="C15" i="8" s="1"/>
  <c r="F52" i="7"/>
  <c r="E52" i="7"/>
  <c r="D52" i="7"/>
  <c r="C52" i="7"/>
  <c r="F50" i="7"/>
  <c r="E50" i="7"/>
  <c r="D50" i="7"/>
  <c r="C50" i="7"/>
  <c r="F51" i="7"/>
  <c r="E51" i="7"/>
  <c r="D51" i="7"/>
  <c r="F47" i="7"/>
  <c r="E47" i="7"/>
  <c r="D47" i="7"/>
  <c r="C47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19" i="7"/>
  <c r="E19" i="7"/>
  <c r="D19" i="7"/>
  <c r="C19" i="7"/>
  <c r="F15" i="7"/>
  <c r="E15" i="7"/>
  <c r="D15" i="7"/>
  <c r="C15" i="7"/>
  <c r="F14" i="7"/>
  <c r="E14" i="7"/>
  <c r="D14" i="7"/>
  <c r="C14" i="7"/>
  <c r="F12" i="7"/>
  <c r="E12" i="7"/>
  <c r="D12" i="7"/>
  <c r="C12" i="7"/>
  <c r="F11" i="7"/>
  <c r="E11" i="7"/>
  <c r="D11" i="7"/>
  <c r="C11" i="7"/>
  <c r="F10" i="7"/>
  <c r="F13" i="7" s="1"/>
  <c r="E10" i="7"/>
  <c r="E13" i="7" s="1"/>
  <c r="D10" i="7"/>
  <c r="D13" i="7" s="1"/>
  <c r="C10" i="7"/>
  <c r="C13" i="7" s="1"/>
  <c r="F7" i="7"/>
  <c r="E7" i="7"/>
  <c r="D7" i="7"/>
  <c r="C7" i="7"/>
  <c r="F6" i="7"/>
  <c r="E6" i="7"/>
  <c r="D6" i="7"/>
  <c r="C6" i="7"/>
  <c r="F5" i="7"/>
  <c r="E5" i="7"/>
  <c r="D5" i="7"/>
  <c r="C5" i="7"/>
  <c r="F4" i="7"/>
  <c r="F8" i="7" s="1"/>
  <c r="F17" i="7" s="1"/>
  <c r="E4" i="7"/>
  <c r="E8" i="7" s="1"/>
  <c r="E17" i="7" s="1"/>
  <c r="D4" i="7"/>
  <c r="D8" i="7" s="1"/>
  <c r="D17" i="7" s="1"/>
  <c r="C4" i="7"/>
  <c r="F48" i="6"/>
  <c r="E48" i="6"/>
  <c r="D48" i="6"/>
  <c r="C48" i="6"/>
  <c r="F46" i="6"/>
  <c r="E46" i="6"/>
  <c r="D46" i="6"/>
  <c r="C46" i="6"/>
  <c r="F45" i="6"/>
  <c r="F47" i="6" s="1"/>
  <c r="E45" i="6"/>
  <c r="E47" i="6" s="1"/>
  <c r="D45" i="6"/>
  <c r="D47" i="6" s="1"/>
  <c r="C45" i="6"/>
  <c r="C47" i="6" s="1"/>
  <c r="F40" i="6"/>
  <c r="E40" i="6"/>
  <c r="D40" i="6"/>
  <c r="C40" i="6"/>
  <c r="F39" i="6"/>
  <c r="E39" i="6"/>
  <c r="D39" i="6"/>
  <c r="C39" i="6"/>
  <c r="F38" i="6"/>
  <c r="E38" i="6"/>
  <c r="D38" i="6"/>
  <c r="C38" i="6"/>
  <c r="F37" i="6"/>
  <c r="F42" i="6" s="1"/>
  <c r="E37" i="6"/>
  <c r="E42" i="6" s="1"/>
  <c r="D37" i="6"/>
  <c r="D42" i="6" s="1"/>
  <c r="C37" i="6"/>
  <c r="C42" i="6" s="1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E35" i="6" s="1"/>
  <c r="D31" i="6"/>
  <c r="C31" i="6"/>
  <c r="F30" i="6"/>
  <c r="F35" i="6" s="1"/>
  <c r="E30" i="6"/>
  <c r="D30" i="6"/>
  <c r="D35" i="6" s="1"/>
  <c r="C30" i="6"/>
  <c r="C35" i="6" s="1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F28" i="6" s="1"/>
  <c r="E22" i="6"/>
  <c r="E28" i="6" s="1"/>
  <c r="D22" i="6"/>
  <c r="D28" i="6" s="1"/>
  <c r="C22" i="6"/>
  <c r="C28" i="6" s="1"/>
  <c r="F18" i="6"/>
  <c r="E18" i="6"/>
  <c r="D18" i="6"/>
  <c r="C18" i="6"/>
  <c r="F14" i="6"/>
  <c r="E14" i="6"/>
  <c r="D14" i="6"/>
  <c r="C14" i="6"/>
  <c r="F13" i="6"/>
  <c r="E13" i="6"/>
  <c r="D13" i="6"/>
  <c r="C13" i="6"/>
  <c r="F11" i="6"/>
  <c r="E11" i="6"/>
  <c r="D11" i="6"/>
  <c r="C11" i="6"/>
  <c r="F10" i="6"/>
  <c r="E10" i="6"/>
  <c r="D10" i="6"/>
  <c r="C10" i="6"/>
  <c r="F9" i="6"/>
  <c r="F12" i="6" s="1"/>
  <c r="E9" i="6"/>
  <c r="E12" i="6" s="1"/>
  <c r="D9" i="6"/>
  <c r="D12" i="6" s="1"/>
  <c r="C9" i="6"/>
  <c r="C12" i="6" s="1"/>
  <c r="F15" i="6"/>
  <c r="E15" i="6"/>
  <c r="D15" i="6"/>
  <c r="C15" i="6"/>
  <c r="F46" i="5"/>
  <c r="F48" i="5" s="1"/>
  <c r="E46" i="5"/>
  <c r="E48" i="5" s="1"/>
  <c r="D46" i="5"/>
  <c r="C46" i="5"/>
  <c r="C48" i="5" s="1"/>
  <c r="D45" i="5"/>
  <c r="D48" i="5" s="1"/>
  <c r="D41" i="5"/>
  <c r="F40" i="5"/>
  <c r="E40" i="5"/>
  <c r="D40" i="5"/>
  <c r="C40" i="5"/>
  <c r="F39" i="5"/>
  <c r="F41" i="5" s="1"/>
  <c r="E39" i="5"/>
  <c r="E41" i="5" s="1"/>
  <c r="D39" i="5"/>
  <c r="C39" i="5"/>
  <c r="C41" i="5" s="1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F37" i="5" s="1"/>
  <c r="E31" i="5"/>
  <c r="E37" i="5" s="1"/>
  <c r="D31" i="5"/>
  <c r="D37" i="5" s="1"/>
  <c r="C31" i="5"/>
  <c r="C37" i="5" s="1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D23" i="5"/>
  <c r="C23" i="5"/>
  <c r="F22" i="5"/>
  <c r="E22" i="5"/>
  <c r="D22" i="5"/>
  <c r="C22" i="5"/>
  <c r="F21" i="5"/>
  <c r="F29" i="5" s="1"/>
  <c r="F49" i="5" s="1"/>
  <c r="E21" i="5"/>
  <c r="E29" i="5" s="1"/>
  <c r="D21" i="5"/>
  <c r="D29" i="5" s="1"/>
  <c r="D49" i="5" s="1"/>
  <c r="C21" i="5"/>
  <c r="C29" i="5" s="1"/>
  <c r="C49" i="5" s="1"/>
  <c r="F15" i="5"/>
  <c r="E15" i="5"/>
  <c r="D15" i="5"/>
  <c r="C15" i="5"/>
  <c r="F14" i="5"/>
  <c r="E14" i="5"/>
  <c r="D14" i="5"/>
  <c r="C14" i="5"/>
  <c r="F13" i="5"/>
  <c r="F16" i="5" s="1"/>
  <c r="E13" i="5"/>
  <c r="E16" i="5" s="1"/>
  <c r="D13" i="5"/>
  <c r="D16" i="5" s="1"/>
  <c r="C13" i="5"/>
  <c r="C16" i="5" s="1"/>
  <c r="F11" i="5"/>
  <c r="E11" i="5"/>
  <c r="D11" i="5"/>
  <c r="C11" i="5"/>
  <c r="F10" i="5"/>
  <c r="F12" i="5" s="1"/>
  <c r="E10" i="5"/>
  <c r="E12" i="5" s="1"/>
  <c r="D10" i="5"/>
  <c r="C10" i="5"/>
  <c r="F9" i="5"/>
  <c r="E9" i="5"/>
  <c r="D9" i="5"/>
  <c r="D12" i="5" s="1"/>
  <c r="C9" i="5"/>
  <c r="C12" i="5" s="1"/>
  <c r="D6" i="5"/>
  <c r="D7" i="5" s="1"/>
  <c r="D17" i="5" s="1"/>
  <c r="C6" i="5"/>
  <c r="F5" i="5"/>
  <c r="E5" i="5"/>
  <c r="E7" i="5" s="1"/>
  <c r="E17" i="5" s="1"/>
  <c r="F7" i="5"/>
  <c r="F17" i="5" s="1"/>
  <c r="F68" i="5" s="1"/>
  <c r="C7" i="5"/>
  <c r="F49" i="4"/>
  <c r="E49" i="4"/>
  <c r="D49" i="4"/>
  <c r="C49" i="4"/>
  <c r="F48" i="4"/>
  <c r="E48" i="4"/>
  <c r="D48" i="4"/>
  <c r="C48" i="4"/>
  <c r="F47" i="4"/>
  <c r="E47" i="4"/>
  <c r="E50" i="4" s="1"/>
  <c r="D47" i="4"/>
  <c r="D50" i="4" s="1"/>
  <c r="C47" i="4"/>
  <c r="C50" i="4" s="1"/>
  <c r="F44" i="4"/>
  <c r="F45" i="4" s="1"/>
  <c r="E44" i="4"/>
  <c r="E45" i="4" s="1"/>
  <c r="D44" i="4"/>
  <c r="D45" i="4" s="1"/>
  <c r="C44" i="4"/>
  <c r="C45" i="4" s="1"/>
  <c r="F42" i="4"/>
  <c r="E42" i="4"/>
  <c r="D42" i="4"/>
  <c r="C42" i="4"/>
  <c r="F41" i="4"/>
  <c r="E43" i="4"/>
  <c r="D41" i="4"/>
  <c r="D43" i="4" s="1"/>
  <c r="C41" i="4"/>
  <c r="C43" i="4" s="1"/>
  <c r="F38" i="4"/>
  <c r="E38" i="4"/>
  <c r="D38" i="4"/>
  <c r="C38" i="4"/>
  <c r="F37" i="4"/>
  <c r="E37" i="4"/>
  <c r="D37" i="4"/>
  <c r="C37" i="4"/>
  <c r="F36" i="4"/>
  <c r="E36" i="4"/>
  <c r="E39" i="4" s="1"/>
  <c r="D36" i="4"/>
  <c r="D39" i="4" s="1"/>
  <c r="C36" i="4"/>
  <c r="C39" i="4" s="1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F34" i="4" s="1"/>
  <c r="E28" i="4"/>
  <c r="E34" i="4" s="1"/>
  <c r="D28" i="4"/>
  <c r="D34" i="4" s="1"/>
  <c r="C28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F26" i="4" s="1"/>
  <c r="E19" i="4"/>
  <c r="E26" i="4" s="1"/>
  <c r="D19" i="4"/>
  <c r="D26" i="4" s="1"/>
  <c r="C19" i="4"/>
  <c r="C26" i="4" s="1"/>
  <c r="F16" i="4"/>
  <c r="E16" i="4"/>
  <c r="D16" i="4"/>
  <c r="C16" i="4"/>
  <c r="F11" i="4"/>
  <c r="E11" i="4"/>
  <c r="D11" i="4"/>
  <c r="C11" i="4"/>
  <c r="F10" i="4"/>
  <c r="E10" i="4"/>
  <c r="D10" i="4"/>
  <c r="C10" i="4"/>
  <c r="F12" i="4"/>
  <c r="F15" i="4" s="1"/>
  <c r="E12" i="4"/>
  <c r="E15" i="4" s="1"/>
  <c r="D12" i="4"/>
  <c r="D15" i="4" s="1"/>
  <c r="C9" i="4"/>
  <c r="C12" i="4" s="1"/>
  <c r="C15" i="4" s="1"/>
  <c r="F51" i="3"/>
  <c r="E51" i="3"/>
  <c r="D51" i="3"/>
  <c r="C51" i="3"/>
  <c r="F50" i="3"/>
  <c r="F52" i="3" s="1"/>
  <c r="E50" i="3"/>
  <c r="D50" i="3"/>
  <c r="C50" i="3"/>
  <c r="F49" i="3"/>
  <c r="E49" i="3"/>
  <c r="E52" i="3" s="1"/>
  <c r="D49" i="3"/>
  <c r="D52" i="3" s="1"/>
  <c r="C49" i="3"/>
  <c r="C52" i="3" s="1"/>
  <c r="F43" i="3"/>
  <c r="E43" i="3"/>
  <c r="D43" i="3"/>
  <c r="C43" i="3"/>
  <c r="F42" i="3"/>
  <c r="E42" i="3"/>
  <c r="D42" i="3"/>
  <c r="C42" i="3"/>
  <c r="F41" i="3"/>
  <c r="F44" i="3" s="1"/>
  <c r="E41" i="3"/>
  <c r="E44" i="3" s="1"/>
  <c r="D41" i="3"/>
  <c r="D44" i="3" s="1"/>
  <c r="C41" i="3"/>
  <c r="C44" i="3" s="1"/>
  <c r="F40" i="3"/>
  <c r="E40" i="3"/>
  <c r="D40" i="3"/>
  <c r="C40" i="3"/>
  <c r="F37" i="3"/>
  <c r="E37" i="3"/>
  <c r="D37" i="3"/>
  <c r="C37" i="3"/>
  <c r="F36" i="3"/>
  <c r="E36" i="3"/>
  <c r="D36" i="3"/>
  <c r="C36" i="3"/>
  <c r="F35" i="3"/>
  <c r="E35" i="3"/>
  <c r="E39" i="3" s="1"/>
  <c r="D35" i="3"/>
  <c r="C35" i="3"/>
  <c r="F34" i="3"/>
  <c r="F39" i="3" s="1"/>
  <c r="D34" i="3"/>
  <c r="C34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E32" i="3" s="1"/>
  <c r="E53" i="3" s="1"/>
  <c r="D24" i="3"/>
  <c r="C24" i="3"/>
  <c r="F23" i="3"/>
  <c r="E23" i="3"/>
  <c r="D23" i="3"/>
  <c r="C23" i="3"/>
  <c r="F18" i="3"/>
  <c r="E18" i="3"/>
  <c r="D18" i="3"/>
  <c r="C18" i="3"/>
  <c r="F17" i="3"/>
  <c r="E17" i="3"/>
  <c r="D17" i="3"/>
  <c r="C17" i="3"/>
  <c r="F16" i="3"/>
  <c r="E16" i="3"/>
  <c r="D16" i="3"/>
  <c r="C16" i="3"/>
  <c r="F14" i="3"/>
  <c r="E14" i="3"/>
  <c r="E19" i="3" s="1"/>
  <c r="D14" i="3"/>
  <c r="D19" i="3" s="1"/>
  <c r="C14" i="3"/>
  <c r="C19" i="3" s="1"/>
  <c r="F12" i="3"/>
  <c r="E12" i="3"/>
  <c r="D12" i="3"/>
  <c r="C12" i="3"/>
  <c r="F11" i="3"/>
  <c r="E11" i="3"/>
  <c r="D11" i="3"/>
  <c r="C11" i="3"/>
  <c r="F10" i="3"/>
  <c r="E10" i="3"/>
  <c r="E13" i="3" s="1"/>
  <c r="D10" i="3"/>
  <c r="D13" i="3" s="1"/>
  <c r="C10" i="3"/>
  <c r="F9" i="3"/>
  <c r="E9" i="3"/>
  <c r="D9" i="3"/>
  <c r="C9" i="3"/>
  <c r="F7" i="3"/>
  <c r="E7" i="3"/>
  <c r="D7" i="3"/>
  <c r="C7" i="3"/>
  <c r="F6" i="3"/>
  <c r="E6" i="3"/>
  <c r="D6" i="3"/>
  <c r="C6" i="3"/>
  <c r="F5" i="3"/>
  <c r="E5" i="3"/>
  <c r="D5" i="3"/>
  <c r="C5" i="3"/>
  <c r="F4" i="3"/>
  <c r="F8" i="3" s="1"/>
  <c r="E4" i="3"/>
  <c r="E8" i="3" s="1"/>
  <c r="D4" i="3"/>
  <c r="C4" i="3"/>
  <c r="C34" i="4" l="1"/>
  <c r="C51" i="4" s="1"/>
  <c r="C70" i="4" s="1"/>
  <c r="D67" i="9"/>
  <c r="F67" i="9"/>
  <c r="E49" i="5"/>
  <c r="E68" i="5" s="1"/>
  <c r="C32" i="3"/>
  <c r="C8" i="10"/>
  <c r="C17" i="10" s="1"/>
  <c r="D32" i="3"/>
  <c r="F32" i="3"/>
  <c r="F53" i="3" s="1"/>
  <c r="C39" i="3"/>
  <c r="C53" i="3" s="1"/>
  <c r="C69" i="3" s="1"/>
  <c r="C55" i="11"/>
  <c r="C61" i="11" s="1"/>
  <c r="E55" i="11"/>
  <c r="E61" i="11" s="1"/>
  <c r="D55" i="11"/>
  <c r="D61" i="11" s="1"/>
  <c r="F55" i="11"/>
  <c r="F61" i="11" s="1"/>
  <c r="C29" i="8"/>
  <c r="C51" i="8" s="1"/>
  <c r="C72" i="8" s="1"/>
  <c r="C50" i="10"/>
  <c r="E50" i="10"/>
  <c r="E67" i="10" s="1"/>
  <c r="D50" i="10"/>
  <c r="D67" i="10" s="1"/>
  <c r="F50" i="10"/>
  <c r="F67" i="10" s="1"/>
  <c r="E8" i="10"/>
  <c r="E17" i="10" s="1"/>
  <c r="C49" i="9"/>
  <c r="C67" i="9" s="1"/>
  <c r="E49" i="9"/>
  <c r="E67" i="9" s="1"/>
  <c r="D51" i="8"/>
  <c r="D72" i="8" s="1"/>
  <c r="F51" i="8"/>
  <c r="E51" i="8"/>
  <c r="E72" i="8" s="1"/>
  <c r="F15" i="8"/>
  <c r="F72" i="8" s="1"/>
  <c r="C8" i="7"/>
  <c r="C17" i="7" s="1"/>
  <c r="D68" i="5"/>
  <c r="D49" i="6"/>
  <c r="D65" i="6" s="1"/>
  <c r="F49" i="6"/>
  <c r="F65" i="6" s="1"/>
  <c r="C49" i="6"/>
  <c r="C65" i="6" s="1"/>
  <c r="E49" i="6"/>
  <c r="E65" i="6" s="1"/>
  <c r="D39" i="3"/>
  <c r="E51" i="4"/>
  <c r="E70" i="4" s="1"/>
  <c r="F39" i="4"/>
  <c r="D51" i="4"/>
  <c r="D70" i="4" s="1"/>
  <c r="E69" i="3"/>
  <c r="C8" i="3"/>
  <c r="C51" i="7"/>
  <c r="D31" i="7"/>
  <c r="D53" i="7" s="1"/>
  <c r="D61" i="7" s="1"/>
  <c r="F31" i="7"/>
  <c r="F53" i="7" s="1"/>
  <c r="F61" i="7" s="1"/>
  <c r="C31" i="7"/>
  <c r="E31" i="7"/>
  <c r="E53" i="7" s="1"/>
  <c r="E61" i="7" s="1"/>
  <c r="C13" i="3"/>
  <c r="C17" i="5"/>
  <c r="C68" i="5" s="1"/>
  <c r="F43" i="4"/>
  <c r="F50" i="4"/>
  <c r="F13" i="3"/>
  <c r="F19" i="3" s="1"/>
  <c r="D8" i="3"/>
  <c r="F53" i="2"/>
  <c r="E53" i="2"/>
  <c r="D53" i="2"/>
  <c r="C53" i="2"/>
  <c r="F51" i="2"/>
  <c r="F52" i="2" s="1"/>
  <c r="E51" i="2"/>
  <c r="E52" i="2" s="1"/>
  <c r="D51" i="2"/>
  <c r="D52" i="2" s="1"/>
  <c r="C51" i="2"/>
  <c r="C52" i="2" s="1"/>
  <c r="D50" i="2"/>
  <c r="F49" i="2"/>
  <c r="E49" i="2"/>
  <c r="D49" i="2"/>
  <c r="C49" i="2"/>
  <c r="F48" i="2"/>
  <c r="F50" i="2" s="1"/>
  <c r="E48" i="2"/>
  <c r="E50" i="2" s="1"/>
  <c r="D48" i="2"/>
  <c r="C48" i="2"/>
  <c r="C50" i="2" s="1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F46" i="2" s="1"/>
  <c r="E39" i="2"/>
  <c r="E46" i="2" s="1"/>
  <c r="D39" i="2"/>
  <c r="D46" i="2" s="1"/>
  <c r="C39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F37" i="2" s="1"/>
  <c r="E32" i="2"/>
  <c r="E37" i="2" s="1"/>
  <c r="D32" i="2"/>
  <c r="C32" i="2"/>
  <c r="C37" i="2" s="1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F30" i="2" s="1"/>
  <c r="F54" i="2" s="1"/>
  <c r="E24" i="2"/>
  <c r="E30" i="2" s="1"/>
  <c r="D24" i="2"/>
  <c r="D30" i="2" s="1"/>
  <c r="C24" i="2"/>
  <c r="C30" i="2" s="1"/>
  <c r="F20" i="2"/>
  <c r="E20" i="2"/>
  <c r="D20" i="2"/>
  <c r="C20" i="2"/>
  <c r="F19" i="2"/>
  <c r="E19" i="2"/>
  <c r="D19" i="2"/>
  <c r="C19" i="2"/>
  <c r="F17" i="2"/>
  <c r="E17" i="2"/>
  <c r="D17" i="2"/>
  <c r="C17" i="2"/>
  <c r="F16" i="2"/>
  <c r="E16" i="2"/>
  <c r="D16" i="2"/>
  <c r="C16" i="2"/>
  <c r="F15" i="2"/>
  <c r="E15" i="2"/>
  <c r="D15" i="2"/>
  <c r="C15" i="2"/>
  <c r="F13" i="2"/>
  <c r="E13" i="2"/>
  <c r="D13" i="2"/>
  <c r="C13" i="2"/>
  <c r="F11" i="2"/>
  <c r="E11" i="2"/>
  <c r="D11" i="2"/>
  <c r="C11" i="2"/>
  <c r="F10" i="2"/>
  <c r="E10" i="2"/>
  <c r="D10" i="2"/>
  <c r="C10" i="2"/>
  <c r="F7" i="2"/>
  <c r="E7" i="2"/>
  <c r="D7" i="2"/>
  <c r="C7" i="2"/>
  <c r="F6" i="2"/>
  <c r="E6" i="2"/>
  <c r="D6" i="2"/>
  <c r="C6" i="2"/>
  <c r="E5" i="2"/>
  <c r="D5" i="2"/>
  <c r="C5" i="2"/>
  <c r="F4" i="2"/>
  <c r="E4" i="2"/>
  <c r="D4" i="2"/>
  <c r="C4" i="2"/>
  <c r="C8" i="2" s="1"/>
  <c r="C53" i="7" l="1"/>
  <c r="C61" i="7" s="1"/>
  <c r="D37" i="2"/>
  <c r="D54" i="2" s="1"/>
  <c r="C18" i="2"/>
  <c r="C67" i="10"/>
  <c r="D53" i="3"/>
  <c r="D69" i="3" s="1"/>
  <c r="E54" i="2"/>
  <c r="C46" i="2"/>
  <c r="C54" i="2" s="1"/>
  <c r="F69" i="3"/>
  <c r="F51" i="4"/>
  <c r="F70" i="4" s="1"/>
  <c r="E8" i="2"/>
  <c r="E18" i="2" s="1"/>
  <c r="D8" i="2"/>
  <c r="D18" i="2" s="1"/>
  <c r="F8" i="2"/>
  <c r="F18" i="2" s="1"/>
  <c r="F72" i="2" s="1"/>
  <c r="F510" i="1"/>
  <c r="E510" i="1"/>
  <c r="C510" i="1"/>
  <c r="D510" i="1"/>
  <c r="F197" i="1"/>
  <c r="E197" i="1"/>
  <c r="D197" i="1"/>
  <c r="C197" i="1"/>
  <c r="D72" i="2" l="1"/>
  <c r="E72" i="2"/>
  <c r="C72" i="2"/>
  <c r="F11" i="1"/>
  <c r="E11" i="1"/>
  <c r="D11" i="1"/>
  <c r="C11" i="1"/>
  <c r="C54" i="1" l="1"/>
  <c r="F139" i="1"/>
  <c r="E139" i="1"/>
  <c r="D139" i="1"/>
  <c r="C139" i="1"/>
  <c r="F78" i="1" l="1"/>
  <c r="E78" i="1"/>
  <c r="D78" i="1"/>
  <c r="C78" i="1"/>
  <c r="F21" i="1"/>
  <c r="E21" i="1"/>
  <c r="D21" i="1"/>
  <c r="C21" i="1"/>
  <c r="F544" i="1"/>
  <c r="E544" i="1"/>
  <c r="D544" i="1"/>
  <c r="C544" i="1"/>
  <c r="F543" i="1"/>
  <c r="E543" i="1"/>
  <c r="D543" i="1"/>
  <c r="C543" i="1"/>
  <c r="F546" i="1"/>
  <c r="F548" i="1"/>
  <c r="E541" i="1"/>
  <c r="E546" i="1"/>
  <c r="E548" i="1"/>
  <c r="D541" i="1"/>
  <c r="D546" i="1"/>
  <c r="D548" i="1"/>
  <c r="C541" i="1"/>
  <c r="C546" i="1"/>
  <c r="C548" i="1"/>
  <c r="F541" i="1"/>
  <c r="F540" i="1"/>
  <c r="E540" i="1"/>
  <c r="D540" i="1"/>
  <c r="C540" i="1"/>
  <c r="F539" i="1"/>
  <c r="E539" i="1"/>
  <c r="D539" i="1"/>
  <c r="C539" i="1"/>
  <c r="F534" i="1"/>
  <c r="F536" i="1"/>
  <c r="E536" i="1"/>
  <c r="D536" i="1"/>
  <c r="C536" i="1"/>
  <c r="F535" i="1"/>
  <c r="E535" i="1"/>
  <c r="D535" i="1"/>
  <c r="C535" i="1"/>
  <c r="E534" i="1"/>
  <c r="D534" i="1"/>
  <c r="C534" i="1"/>
  <c r="F531" i="1"/>
  <c r="E531" i="1"/>
  <c r="D531" i="1"/>
  <c r="C531" i="1"/>
  <c r="F533" i="1"/>
  <c r="F538" i="1"/>
  <c r="F530" i="1"/>
  <c r="E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E521" i="1" s="1"/>
  <c r="D515" i="1"/>
  <c r="C515" i="1"/>
  <c r="F514" i="1"/>
  <c r="F521" i="1" s="1"/>
  <c r="E514" i="1"/>
  <c r="D514" i="1"/>
  <c r="D521" i="1" s="1"/>
  <c r="C514" i="1"/>
  <c r="C521" i="1" s="1"/>
  <c r="C537" i="1" l="1"/>
  <c r="D537" i="1"/>
  <c r="F537" i="1"/>
  <c r="D542" i="1"/>
  <c r="F542" i="1"/>
  <c r="E537" i="1"/>
  <c r="E532" i="1"/>
  <c r="C542" i="1"/>
  <c r="E542" i="1"/>
  <c r="C532" i="1"/>
  <c r="F532" i="1"/>
  <c r="F545" i="1" s="1"/>
  <c r="F507" i="1"/>
  <c r="E507" i="1"/>
  <c r="C507" i="1"/>
  <c r="F506" i="1"/>
  <c r="E506" i="1"/>
  <c r="D506" i="1"/>
  <c r="C506" i="1"/>
  <c r="F504" i="1"/>
  <c r="E504" i="1"/>
  <c r="D504" i="1"/>
  <c r="D503" i="1"/>
  <c r="C504" i="1"/>
  <c r="F503" i="1"/>
  <c r="E503" i="1"/>
  <c r="C503" i="1"/>
  <c r="F502" i="1"/>
  <c r="E502" i="1"/>
  <c r="D502" i="1"/>
  <c r="C502" i="1"/>
  <c r="F499" i="1"/>
  <c r="E499" i="1"/>
  <c r="D499" i="1"/>
  <c r="C499" i="1"/>
  <c r="F498" i="1"/>
  <c r="E498" i="1"/>
  <c r="D498" i="1"/>
  <c r="C498" i="1"/>
  <c r="F497" i="1"/>
  <c r="E497" i="1"/>
  <c r="C497" i="1"/>
  <c r="F496" i="1"/>
  <c r="E496" i="1"/>
  <c r="D496" i="1"/>
  <c r="C496" i="1"/>
  <c r="F495" i="1"/>
  <c r="E495" i="1"/>
  <c r="D495" i="1"/>
  <c r="C495" i="1"/>
  <c r="F494" i="1"/>
  <c r="D494" i="1"/>
  <c r="E494" i="1"/>
  <c r="C494" i="1"/>
  <c r="F493" i="1"/>
  <c r="E493" i="1"/>
  <c r="D493" i="1"/>
  <c r="C493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C545" i="1" l="1"/>
  <c r="E505" i="1"/>
  <c r="C500" i="1"/>
  <c r="E545" i="1"/>
  <c r="C505" i="1"/>
  <c r="F505" i="1"/>
  <c r="D505" i="1"/>
  <c r="E500" i="1"/>
  <c r="E508" i="1" s="1"/>
  <c r="E547" i="1" s="1"/>
  <c r="F500" i="1"/>
  <c r="F481" i="1"/>
  <c r="E481" i="1"/>
  <c r="D481" i="1"/>
  <c r="C481" i="1"/>
  <c r="F480" i="1"/>
  <c r="F482" i="1" s="1"/>
  <c r="E480" i="1"/>
  <c r="E482" i="1" s="1"/>
  <c r="D480" i="1"/>
  <c r="C480" i="1"/>
  <c r="C482" i="1" s="1"/>
  <c r="F477" i="1"/>
  <c r="E477" i="1"/>
  <c r="C477" i="1"/>
  <c r="F476" i="1"/>
  <c r="E476" i="1"/>
  <c r="D476" i="1"/>
  <c r="C476" i="1"/>
  <c r="F475" i="1"/>
  <c r="E475" i="1"/>
  <c r="D475" i="1"/>
  <c r="C475" i="1"/>
  <c r="C478" i="1" s="1"/>
  <c r="F468" i="1"/>
  <c r="F467" i="1"/>
  <c r="F472" i="1"/>
  <c r="E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D468" i="1"/>
  <c r="E468" i="1"/>
  <c r="C468" i="1"/>
  <c r="E467" i="1"/>
  <c r="D467" i="1"/>
  <c r="C467" i="1"/>
  <c r="F464" i="1"/>
  <c r="E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C465" i="1" s="1"/>
  <c r="F454" i="1"/>
  <c r="E454" i="1"/>
  <c r="D454" i="1"/>
  <c r="C454" i="1"/>
  <c r="F451" i="1"/>
  <c r="E451" i="1"/>
  <c r="C451" i="1"/>
  <c r="F450" i="1"/>
  <c r="E450" i="1"/>
  <c r="D450" i="1"/>
  <c r="C450" i="1"/>
  <c r="F449" i="1"/>
  <c r="E449" i="1"/>
  <c r="D449" i="1"/>
  <c r="C449" i="1"/>
  <c r="F445" i="1"/>
  <c r="E445" i="1"/>
  <c r="D445" i="1"/>
  <c r="C445" i="1"/>
  <c r="F447" i="1"/>
  <c r="E447" i="1"/>
  <c r="D447" i="1"/>
  <c r="C447" i="1"/>
  <c r="F446" i="1"/>
  <c r="F448" i="1" s="1"/>
  <c r="E446" i="1"/>
  <c r="E448" i="1" s="1"/>
  <c r="D446" i="1"/>
  <c r="D448" i="1" s="1"/>
  <c r="C446" i="1"/>
  <c r="C448" i="1" s="1"/>
  <c r="F442" i="1"/>
  <c r="E442" i="1"/>
  <c r="D442" i="1"/>
  <c r="C442" i="1"/>
  <c r="F441" i="1"/>
  <c r="E441" i="1"/>
  <c r="C441" i="1"/>
  <c r="E440" i="1"/>
  <c r="D440" i="1"/>
  <c r="C440" i="1"/>
  <c r="F439" i="1"/>
  <c r="E439" i="1"/>
  <c r="E443" i="1" s="1"/>
  <c r="D439" i="1"/>
  <c r="C439" i="1"/>
  <c r="F508" i="1" l="1"/>
  <c r="F547" i="1" s="1"/>
  <c r="C508" i="1"/>
  <c r="C547" i="1" s="1"/>
  <c r="C443" i="1"/>
  <c r="C452" i="1" s="1"/>
  <c r="E452" i="1"/>
  <c r="F465" i="1"/>
  <c r="C473" i="1"/>
  <c r="E473" i="1"/>
  <c r="F478" i="1"/>
  <c r="F473" i="1"/>
  <c r="E465" i="1"/>
  <c r="E478" i="1"/>
  <c r="C486" i="1"/>
  <c r="F431" i="1"/>
  <c r="E431" i="1"/>
  <c r="D431" i="1"/>
  <c r="C431" i="1"/>
  <c r="F430" i="1"/>
  <c r="E430" i="1"/>
  <c r="D430" i="1"/>
  <c r="C430" i="1"/>
  <c r="F428" i="1"/>
  <c r="E428" i="1"/>
  <c r="D428" i="1"/>
  <c r="C428" i="1"/>
  <c r="F427" i="1"/>
  <c r="F429" i="1" s="1"/>
  <c r="E427" i="1"/>
  <c r="D427" i="1"/>
  <c r="D429" i="1" s="1"/>
  <c r="C427" i="1"/>
  <c r="F425" i="1"/>
  <c r="E425" i="1"/>
  <c r="D425" i="1"/>
  <c r="C425" i="1"/>
  <c r="F424" i="1"/>
  <c r="F426" i="1" s="1"/>
  <c r="E424" i="1"/>
  <c r="E426" i="1" s="1"/>
  <c r="D424" i="1"/>
  <c r="C424" i="1"/>
  <c r="C426" i="1" s="1"/>
  <c r="F421" i="1"/>
  <c r="E421" i="1"/>
  <c r="C421" i="1"/>
  <c r="F420" i="1"/>
  <c r="E420" i="1"/>
  <c r="D420" i="1"/>
  <c r="C420" i="1"/>
  <c r="C422" i="1" s="1"/>
  <c r="F418" i="1"/>
  <c r="E418" i="1"/>
  <c r="D418" i="1"/>
  <c r="C418" i="1"/>
  <c r="C417" i="1"/>
  <c r="F417" i="1"/>
  <c r="E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08" i="1"/>
  <c r="E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C409" i="1" s="1"/>
  <c r="F399" i="1"/>
  <c r="E399" i="1"/>
  <c r="D399" i="1"/>
  <c r="C399" i="1"/>
  <c r="F396" i="1"/>
  <c r="E396" i="1"/>
  <c r="D398" i="1"/>
  <c r="D400" i="1"/>
  <c r="D401" i="1"/>
  <c r="D402" i="1"/>
  <c r="D408" i="1"/>
  <c r="D410" i="1"/>
  <c r="D417" i="1"/>
  <c r="D421" i="1"/>
  <c r="D423" i="1"/>
  <c r="D426" i="1"/>
  <c r="D433" i="1"/>
  <c r="D441" i="1"/>
  <c r="D443" i="1" s="1"/>
  <c r="D444" i="1"/>
  <c r="D451" i="1"/>
  <c r="D455" i="1"/>
  <c r="D456" i="1"/>
  <c r="D457" i="1"/>
  <c r="D464" i="1"/>
  <c r="D465" i="1" s="1"/>
  <c r="D466" i="1"/>
  <c r="D472" i="1"/>
  <c r="D473" i="1" s="1"/>
  <c r="D474" i="1"/>
  <c r="D477" i="1"/>
  <c r="D478" i="1" s="1"/>
  <c r="D479" i="1"/>
  <c r="D482" i="1"/>
  <c r="D487" i="1"/>
  <c r="D489" i="1"/>
  <c r="D490" i="1"/>
  <c r="D491" i="1"/>
  <c r="D492" i="1"/>
  <c r="D497" i="1"/>
  <c r="D500" i="1" s="1"/>
  <c r="D501" i="1"/>
  <c r="D507" i="1"/>
  <c r="D508" i="1" s="1"/>
  <c r="D509" i="1"/>
  <c r="D511" i="1"/>
  <c r="D512" i="1"/>
  <c r="D513" i="1"/>
  <c r="D522" i="1"/>
  <c r="D530" i="1"/>
  <c r="D532" i="1" s="1"/>
  <c r="D545" i="1" s="1"/>
  <c r="D533" i="1"/>
  <c r="D538" i="1"/>
  <c r="F398" i="1"/>
  <c r="F400" i="1"/>
  <c r="F401" i="1"/>
  <c r="F402" i="1"/>
  <c r="F410" i="1"/>
  <c r="F423" i="1"/>
  <c r="F433" i="1"/>
  <c r="F440" i="1"/>
  <c r="F443" i="1" s="1"/>
  <c r="F452" i="1" s="1"/>
  <c r="F444" i="1"/>
  <c r="F455" i="1"/>
  <c r="F456" i="1"/>
  <c r="F457" i="1"/>
  <c r="F466" i="1"/>
  <c r="F474" i="1"/>
  <c r="F479" i="1"/>
  <c r="F487" i="1"/>
  <c r="F489" i="1"/>
  <c r="F490" i="1"/>
  <c r="F491" i="1"/>
  <c r="F492" i="1"/>
  <c r="F501" i="1"/>
  <c r="F509" i="1"/>
  <c r="F511" i="1"/>
  <c r="F512" i="1"/>
  <c r="F513" i="1"/>
  <c r="F522" i="1"/>
  <c r="E398" i="1"/>
  <c r="E400" i="1"/>
  <c r="E401" i="1"/>
  <c r="E402" i="1"/>
  <c r="E410" i="1"/>
  <c r="E423" i="1"/>
  <c r="E429" i="1"/>
  <c r="E433" i="1"/>
  <c r="E444" i="1"/>
  <c r="E455" i="1"/>
  <c r="E456" i="1"/>
  <c r="E457" i="1"/>
  <c r="E466" i="1"/>
  <c r="E474" i="1"/>
  <c r="E479" i="1"/>
  <c r="E487" i="1"/>
  <c r="E489" i="1"/>
  <c r="E490" i="1"/>
  <c r="E491" i="1"/>
  <c r="E492" i="1"/>
  <c r="E501" i="1"/>
  <c r="E509" i="1"/>
  <c r="E511" i="1"/>
  <c r="E512" i="1"/>
  <c r="E513" i="1"/>
  <c r="E522" i="1"/>
  <c r="E533" i="1"/>
  <c r="E538" i="1"/>
  <c r="D396" i="1"/>
  <c r="C396" i="1"/>
  <c r="F395" i="1"/>
  <c r="E395" i="1"/>
  <c r="D395" i="1"/>
  <c r="C395" i="1"/>
  <c r="F394" i="1"/>
  <c r="D394" i="1"/>
  <c r="C394" i="1"/>
  <c r="F392" i="1"/>
  <c r="E392" i="1"/>
  <c r="D392" i="1"/>
  <c r="C392" i="1"/>
  <c r="F391" i="1"/>
  <c r="E391" i="1"/>
  <c r="D391" i="1"/>
  <c r="C391" i="1"/>
  <c r="F390" i="1"/>
  <c r="F393" i="1" s="1"/>
  <c r="E390" i="1"/>
  <c r="E393" i="1" s="1"/>
  <c r="D390" i="1"/>
  <c r="D393" i="1" s="1"/>
  <c r="C390" i="1"/>
  <c r="C393" i="1" s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F388" i="1" s="1"/>
  <c r="E384" i="1"/>
  <c r="E388" i="1" s="1"/>
  <c r="D384" i="1"/>
  <c r="D388" i="1" s="1"/>
  <c r="C384" i="1"/>
  <c r="C388" i="1" s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2" i="1"/>
  <c r="E372" i="1"/>
  <c r="D372" i="1"/>
  <c r="C372" i="1"/>
  <c r="F371" i="1"/>
  <c r="F373" i="1" s="1"/>
  <c r="E371" i="1"/>
  <c r="E373" i="1" s="1"/>
  <c r="D371" i="1"/>
  <c r="C371" i="1"/>
  <c r="C373" i="1" s="1"/>
  <c r="F368" i="1"/>
  <c r="E368" i="1"/>
  <c r="D368" i="1"/>
  <c r="C368" i="1"/>
  <c r="F367" i="1"/>
  <c r="F369" i="1" s="1"/>
  <c r="E367" i="1"/>
  <c r="E369" i="1" s="1"/>
  <c r="D367" i="1"/>
  <c r="C367" i="1"/>
  <c r="C369" i="1" s="1"/>
  <c r="F351" i="1"/>
  <c r="E351" i="1"/>
  <c r="D351" i="1"/>
  <c r="C351" i="1"/>
  <c r="F365" i="1"/>
  <c r="E365" i="1"/>
  <c r="D365" i="1"/>
  <c r="C365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F363" i="1" s="1"/>
  <c r="E355" i="1"/>
  <c r="E363" i="1" s="1"/>
  <c r="D355" i="1"/>
  <c r="D363" i="1" s="1"/>
  <c r="C355" i="1"/>
  <c r="C363" i="1" s="1"/>
  <c r="F339" i="1"/>
  <c r="E339" i="1"/>
  <c r="D339" i="1"/>
  <c r="C339" i="1"/>
  <c r="F419" i="1" l="1"/>
  <c r="E422" i="1"/>
  <c r="F486" i="1"/>
  <c r="F488" i="1" s="1"/>
  <c r="E486" i="1"/>
  <c r="E488" i="1" s="1"/>
  <c r="C488" i="1"/>
  <c r="D369" i="1"/>
  <c r="D377" i="1" s="1"/>
  <c r="D486" i="1"/>
  <c r="C397" i="1"/>
  <c r="D547" i="1"/>
  <c r="D397" i="1"/>
  <c r="F397" i="1"/>
  <c r="F409" i="1"/>
  <c r="D452" i="1"/>
  <c r="D409" i="1"/>
  <c r="E377" i="1"/>
  <c r="D419" i="1"/>
  <c r="F377" i="1"/>
  <c r="E409" i="1"/>
  <c r="E419" i="1"/>
  <c r="C419" i="1"/>
  <c r="C432" i="1" s="1"/>
  <c r="D422" i="1"/>
  <c r="F422" i="1"/>
  <c r="C377" i="1"/>
  <c r="F348" i="1"/>
  <c r="E348" i="1"/>
  <c r="D348" i="1"/>
  <c r="C348" i="1"/>
  <c r="F347" i="1"/>
  <c r="E347" i="1"/>
  <c r="D347" i="1"/>
  <c r="C347" i="1"/>
  <c r="F345" i="1"/>
  <c r="E345" i="1"/>
  <c r="D345" i="1"/>
  <c r="C345" i="1"/>
  <c r="F344" i="1"/>
  <c r="E344" i="1"/>
  <c r="D344" i="1"/>
  <c r="C344" i="1"/>
  <c r="F343" i="1"/>
  <c r="F346" i="1" s="1"/>
  <c r="E343" i="1"/>
  <c r="D343" i="1"/>
  <c r="C343" i="1"/>
  <c r="C346" i="1" s="1"/>
  <c r="F340" i="1"/>
  <c r="E340" i="1"/>
  <c r="D340" i="1"/>
  <c r="C340" i="1"/>
  <c r="D346" i="1" l="1"/>
  <c r="D488" i="1"/>
  <c r="C434" i="1"/>
  <c r="E346" i="1"/>
  <c r="F432" i="1"/>
  <c r="F434" i="1" s="1"/>
  <c r="E432" i="1"/>
  <c r="D432" i="1"/>
  <c r="D434" i="1" s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E341" i="1" s="1"/>
  <c r="D334" i="1"/>
  <c r="D341" i="1" s="1"/>
  <c r="C334" i="1"/>
  <c r="C341" i="1" s="1"/>
  <c r="C349" i="1" s="1"/>
  <c r="C379" i="1" s="1"/>
  <c r="D349" i="1" l="1"/>
  <c r="D379" i="1" s="1"/>
  <c r="F341" i="1"/>
  <c r="F349" i="1" s="1"/>
  <c r="F379" i="1" s="1"/>
  <c r="E349" i="1"/>
  <c r="E379" i="1" s="1"/>
  <c r="F303" i="1"/>
  <c r="E303" i="1"/>
  <c r="D303" i="1"/>
  <c r="C303" i="1"/>
  <c r="F327" i="1"/>
  <c r="E327" i="1"/>
  <c r="D327" i="1"/>
  <c r="C327" i="1"/>
  <c r="F326" i="1"/>
  <c r="E326" i="1"/>
  <c r="D326" i="1"/>
  <c r="C326" i="1"/>
  <c r="F324" i="1"/>
  <c r="E324" i="1"/>
  <c r="D324" i="1"/>
  <c r="C324" i="1"/>
  <c r="F323" i="1"/>
  <c r="F325" i="1" s="1"/>
  <c r="E323" i="1"/>
  <c r="E325" i="1" s="1"/>
  <c r="D323" i="1"/>
  <c r="C323" i="1"/>
  <c r="F321" i="1"/>
  <c r="E321" i="1"/>
  <c r="D321" i="1"/>
  <c r="C321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F320" i="1" s="1"/>
  <c r="E313" i="1"/>
  <c r="E320" i="1" s="1"/>
  <c r="D313" i="1"/>
  <c r="D320" i="1" s="1"/>
  <c r="C313" i="1"/>
  <c r="C320" i="1" s="1"/>
  <c r="F310" i="1"/>
  <c r="E310" i="1"/>
  <c r="D310" i="1"/>
  <c r="C310" i="1"/>
  <c r="F309" i="1"/>
  <c r="E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1" i="1"/>
  <c r="F302" i="1"/>
  <c r="F312" i="1"/>
  <c r="F322" i="1"/>
  <c r="F329" i="1"/>
  <c r="F342" i="1"/>
  <c r="F352" i="1"/>
  <c r="F353" i="1"/>
  <c r="F354" i="1"/>
  <c r="F364" i="1"/>
  <c r="F366" i="1"/>
  <c r="F370" i="1"/>
  <c r="F378" i="1"/>
  <c r="F389" i="1"/>
  <c r="E301" i="1"/>
  <c r="E302" i="1"/>
  <c r="E312" i="1"/>
  <c r="E322" i="1"/>
  <c r="E329" i="1"/>
  <c r="E342" i="1"/>
  <c r="E352" i="1"/>
  <c r="E353" i="1"/>
  <c r="E354" i="1"/>
  <c r="E364" i="1"/>
  <c r="E366" i="1"/>
  <c r="E370" i="1"/>
  <c r="E378" i="1"/>
  <c r="E389" i="1"/>
  <c r="E394" i="1"/>
  <c r="E397" i="1" s="1"/>
  <c r="E434" i="1" s="1"/>
  <c r="D301" i="1"/>
  <c r="D302" i="1"/>
  <c r="D309" i="1"/>
  <c r="D312" i="1"/>
  <c r="D322" i="1"/>
  <c r="D325" i="1" s="1"/>
  <c r="D329" i="1"/>
  <c r="D342" i="1"/>
  <c r="D352" i="1"/>
  <c r="D353" i="1"/>
  <c r="D354" i="1"/>
  <c r="D364" i="1"/>
  <c r="D366" i="1"/>
  <c r="D370" i="1"/>
  <c r="D373" i="1"/>
  <c r="D378" i="1"/>
  <c r="D389" i="1"/>
  <c r="C301" i="1"/>
  <c r="C302" i="1"/>
  <c r="C312" i="1"/>
  <c r="C322" i="1"/>
  <c r="C329" i="1"/>
  <c r="C342" i="1"/>
  <c r="C352" i="1"/>
  <c r="C353" i="1"/>
  <c r="C354" i="1"/>
  <c r="C364" i="1"/>
  <c r="C366" i="1"/>
  <c r="C370" i="1"/>
  <c r="C378" i="1"/>
  <c r="C389" i="1"/>
  <c r="C398" i="1"/>
  <c r="C400" i="1"/>
  <c r="C401" i="1"/>
  <c r="C402" i="1"/>
  <c r="C410" i="1"/>
  <c r="C423" i="1"/>
  <c r="C429" i="1"/>
  <c r="C433" i="1"/>
  <c r="C444" i="1"/>
  <c r="C455" i="1"/>
  <c r="C456" i="1"/>
  <c r="C457" i="1"/>
  <c r="C466" i="1"/>
  <c r="C474" i="1"/>
  <c r="C479" i="1"/>
  <c r="C487" i="1"/>
  <c r="C489" i="1"/>
  <c r="C490" i="1"/>
  <c r="C491" i="1"/>
  <c r="C492" i="1"/>
  <c r="C501" i="1"/>
  <c r="C509" i="1"/>
  <c r="C511" i="1"/>
  <c r="C512" i="1"/>
  <c r="C513" i="1"/>
  <c r="C522" i="1"/>
  <c r="C533" i="1"/>
  <c r="C538" i="1"/>
  <c r="F300" i="1"/>
  <c r="E300" i="1"/>
  <c r="D300" i="1"/>
  <c r="C300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E293" i="1"/>
  <c r="D293" i="1"/>
  <c r="C293" i="1"/>
  <c r="F292" i="1"/>
  <c r="E292" i="1"/>
  <c r="D292" i="1"/>
  <c r="C292" i="1"/>
  <c r="F291" i="1"/>
  <c r="E291" i="1"/>
  <c r="E294" i="1" s="1"/>
  <c r="D291" i="1"/>
  <c r="D294" i="1" s="1"/>
  <c r="C291" i="1"/>
  <c r="C294" i="1" s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E289" i="1" s="1"/>
  <c r="D285" i="1"/>
  <c r="D289" i="1" s="1"/>
  <c r="C285" i="1"/>
  <c r="C289" i="1" s="1"/>
  <c r="F278" i="1"/>
  <c r="E278" i="1"/>
  <c r="D278" i="1"/>
  <c r="C278" i="1"/>
  <c r="F277" i="1"/>
  <c r="E277" i="1"/>
  <c r="D277" i="1"/>
  <c r="C277" i="1"/>
  <c r="E274" i="1"/>
  <c r="D274" i="1"/>
  <c r="C274" i="1"/>
  <c r="F273" i="1"/>
  <c r="E273" i="1"/>
  <c r="E275" i="1" s="1"/>
  <c r="D273" i="1"/>
  <c r="D275" i="1" s="1"/>
  <c r="C273" i="1"/>
  <c r="C275" i="1" s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E266" i="1"/>
  <c r="F266" i="1"/>
  <c r="D266" i="1"/>
  <c r="C266" i="1"/>
  <c r="F263" i="1"/>
  <c r="E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C264" i="1" s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E257" i="1" s="1"/>
  <c r="D251" i="1"/>
  <c r="D257" i="1" s="1"/>
  <c r="C251" i="1"/>
  <c r="C257" i="1" s="1"/>
  <c r="F247" i="1"/>
  <c r="E247" i="1"/>
  <c r="D247" i="1"/>
  <c r="C247" i="1"/>
  <c r="F243" i="1"/>
  <c r="E243" i="1"/>
  <c r="D243" i="1"/>
  <c r="C243" i="1"/>
  <c r="F242" i="1"/>
  <c r="E242" i="1"/>
  <c r="D242" i="1"/>
  <c r="C242" i="1"/>
  <c r="E240" i="1"/>
  <c r="D240" i="1"/>
  <c r="C240" i="1"/>
  <c r="F239" i="1"/>
  <c r="E239" i="1"/>
  <c r="D239" i="1"/>
  <c r="C239" i="1"/>
  <c r="F238" i="1"/>
  <c r="E238" i="1"/>
  <c r="E241" i="1" s="1"/>
  <c r="D238" i="1"/>
  <c r="D241" i="1" s="1"/>
  <c r="C238" i="1"/>
  <c r="C241" i="1" s="1"/>
  <c r="F236" i="1"/>
  <c r="E236" i="1"/>
  <c r="D236" i="1"/>
  <c r="C236" i="1"/>
  <c r="F234" i="1"/>
  <c r="E234" i="1"/>
  <c r="D234" i="1"/>
  <c r="C234" i="1"/>
  <c r="F233" i="1"/>
  <c r="E233" i="1"/>
  <c r="D233" i="1"/>
  <c r="C233" i="1"/>
  <c r="F232" i="1"/>
  <c r="F235" i="1" s="1"/>
  <c r="E232" i="1"/>
  <c r="E235" i="1" s="1"/>
  <c r="D232" i="1"/>
  <c r="D235" i="1" s="1"/>
  <c r="C232" i="1"/>
  <c r="F257" i="1" l="1"/>
  <c r="C298" i="1"/>
  <c r="C311" i="1"/>
  <c r="F264" i="1"/>
  <c r="C325" i="1"/>
  <c r="D311" i="1"/>
  <c r="D328" i="1" s="1"/>
  <c r="E311" i="1"/>
  <c r="F311" i="1"/>
  <c r="E328" i="1"/>
  <c r="F328" i="1"/>
  <c r="D298" i="1"/>
  <c r="E264" i="1"/>
  <c r="E271" i="1"/>
  <c r="E298" i="1"/>
  <c r="D244" i="1"/>
  <c r="E244" i="1"/>
  <c r="C271" i="1"/>
  <c r="C279" i="1" s="1"/>
  <c r="D271" i="1"/>
  <c r="F271" i="1"/>
  <c r="C235" i="1"/>
  <c r="C244" i="1" s="1"/>
  <c r="F225" i="1"/>
  <c r="E225" i="1"/>
  <c r="D225" i="1"/>
  <c r="C225" i="1"/>
  <c r="F224" i="1"/>
  <c r="F226" i="1" s="1"/>
  <c r="E224" i="1"/>
  <c r="E226" i="1" s="1"/>
  <c r="D224" i="1"/>
  <c r="D226" i="1" s="1"/>
  <c r="C224" i="1"/>
  <c r="C226" i="1" s="1"/>
  <c r="F221" i="1"/>
  <c r="E221" i="1"/>
  <c r="D221" i="1"/>
  <c r="C221" i="1"/>
  <c r="F220" i="1"/>
  <c r="F222" i="1" s="1"/>
  <c r="E220" i="1"/>
  <c r="E222" i="1" s="1"/>
  <c r="D220" i="1"/>
  <c r="D222" i="1" s="1"/>
  <c r="C220" i="1"/>
  <c r="C222" i="1" s="1"/>
  <c r="E218" i="1"/>
  <c r="D218" i="1"/>
  <c r="C218" i="1"/>
  <c r="F217" i="1"/>
  <c r="E217" i="1"/>
  <c r="E219" i="1" s="1"/>
  <c r="D217" i="1"/>
  <c r="C217" i="1"/>
  <c r="C219" i="1" s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3" i="1"/>
  <c r="E193" i="1"/>
  <c r="D193" i="1"/>
  <c r="C193" i="1"/>
  <c r="F192" i="1"/>
  <c r="E192" i="1"/>
  <c r="D192" i="1"/>
  <c r="C192" i="1"/>
  <c r="F191" i="1"/>
  <c r="F194" i="1" s="1"/>
  <c r="E191" i="1"/>
  <c r="E194" i="1" s="1"/>
  <c r="D191" i="1"/>
  <c r="D194" i="1" s="1"/>
  <c r="C191" i="1"/>
  <c r="C194" i="1" s="1"/>
  <c r="F189" i="1"/>
  <c r="E189" i="1"/>
  <c r="C189" i="1"/>
  <c r="E188" i="1"/>
  <c r="E190" i="1" s="1"/>
  <c r="D189" i="1"/>
  <c r="C188" i="1"/>
  <c r="F187" i="1"/>
  <c r="E187" i="1"/>
  <c r="D187" i="1"/>
  <c r="D188" i="1"/>
  <c r="C187" i="1"/>
  <c r="E182" i="1"/>
  <c r="E183" i="1"/>
  <c r="E184" i="1"/>
  <c r="E196" i="1"/>
  <c r="E223" i="1"/>
  <c r="E237" i="1"/>
  <c r="E245" i="1"/>
  <c r="E246" i="1"/>
  <c r="E248" i="1"/>
  <c r="E249" i="1"/>
  <c r="E250" i="1"/>
  <c r="E258" i="1"/>
  <c r="E265" i="1"/>
  <c r="E272" i="1"/>
  <c r="E276" i="1"/>
  <c r="E290" i="1"/>
  <c r="E299" i="1"/>
  <c r="E181" i="1"/>
  <c r="F184" i="1"/>
  <c r="D184" i="1"/>
  <c r="C184" i="1"/>
  <c r="D183" i="1"/>
  <c r="C183" i="1"/>
  <c r="F182" i="1"/>
  <c r="D182" i="1"/>
  <c r="C182" i="1"/>
  <c r="F181" i="1"/>
  <c r="D181" i="1"/>
  <c r="C181" i="1"/>
  <c r="F172" i="1"/>
  <c r="E172" i="1"/>
  <c r="D172" i="1"/>
  <c r="C172" i="1"/>
  <c r="F171" i="1"/>
  <c r="E171" i="1"/>
  <c r="D171" i="1"/>
  <c r="C171" i="1"/>
  <c r="F170" i="1"/>
  <c r="F173" i="1" s="1"/>
  <c r="E170" i="1"/>
  <c r="E173" i="1" s="1"/>
  <c r="D170" i="1"/>
  <c r="D173" i="1" s="1"/>
  <c r="C170" i="1"/>
  <c r="C173" i="1" s="1"/>
  <c r="F167" i="1"/>
  <c r="E167" i="1"/>
  <c r="D167" i="1"/>
  <c r="C167" i="1"/>
  <c r="F166" i="1"/>
  <c r="F168" i="1" s="1"/>
  <c r="E166" i="1"/>
  <c r="E168" i="1" s="1"/>
  <c r="D166" i="1"/>
  <c r="D168" i="1" s="1"/>
  <c r="C166" i="1"/>
  <c r="C168" i="1" s="1"/>
  <c r="E164" i="1"/>
  <c r="D164" i="1"/>
  <c r="C164" i="1"/>
  <c r="F163" i="1"/>
  <c r="D163" i="1"/>
  <c r="C163" i="1"/>
  <c r="F160" i="1"/>
  <c r="E160" i="1"/>
  <c r="D160" i="1"/>
  <c r="C160" i="1"/>
  <c r="F159" i="1"/>
  <c r="E159" i="1"/>
  <c r="D159" i="1"/>
  <c r="C159" i="1"/>
  <c r="F158" i="1"/>
  <c r="F161" i="1" s="1"/>
  <c r="E158" i="1"/>
  <c r="E161" i="1" s="1"/>
  <c r="D158" i="1"/>
  <c r="D161" i="1" s="1"/>
  <c r="C158" i="1"/>
  <c r="C161" i="1" s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F156" i="1" s="1"/>
  <c r="E151" i="1"/>
  <c r="E156" i="1" s="1"/>
  <c r="D151" i="1"/>
  <c r="D156" i="1" s="1"/>
  <c r="C151" i="1"/>
  <c r="C156" i="1" s="1"/>
  <c r="F148" i="1"/>
  <c r="E148" i="1"/>
  <c r="D148" i="1"/>
  <c r="C148" i="1"/>
  <c r="F147" i="1"/>
  <c r="E147" i="1"/>
  <c r="D147" i="1"/>
  <c r="C147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D134" i="1"/>
  <c r="C134" i="1"/>
  <c r="F133" i="1"/>
  <c r="E133" i="1"/>
  <c r="D133" i="1"/>
  <c r="C133" i="1"/>
  <c r="C132" i="1"/>
  <c r="F125" i="1"/>
  <c r="F122" i="1"/>
  <c r="F121" i="1"/>
  <c r="D129" i="1"/>
  <c r="D132" i="1"/>
  <c r="D136" i="1"/>
  <c r="D137" i="1"/>
  <c r="D196" i="1"/>
  <c r="D219" i="1"/>
  <c r="D223" i="1"/>
  <c r="D237" i="1"/>
  <c r="D245" i="1"/>
  <c r="D246" i="1"/>
  <c r="D248" i="1"/>
  <c r="D249" i="1"/>
  <c r="D250" i="1"/>
  <c r="D258" i="1"/>
  <c r="D263" i="1"/>
  <c r="D264" i="1" s="1"/>
  <c r="D279" i="1" s="1"/>
  <c r="D280" i="1" s="1"/>
  <c r="D265" i="1"/>
  <c r="D272" i="1"/>
  <c r="D276" i="1"/>
  <c r="D290" i="1"/>
  <c r="D299" i="1"/>
  <c r="C129" i="1"/>
  <c r="C136" i="1"/>
  <c r="C137" i="1"/>
  <c r="C196" i="1"/>
  <c r="C223" i="1"/>
  <c r="C237" i="1"/>
  <c r="C245" i="1"/>
  <c r="C246" i="1"/>
  <c r="C248" i="1"/>
  <c r="C249" i="1"/>
  <c r="C250" i="1"/>
  <c r="C258" i="1"/>
  <c r="C265" i="1"/>
  <c r="C272" i="1"/>
  <c r="C276" i="1"/>
  <c r="C290" i="1"/>
  <c r="C299" i="1"/>
  <c r="F132" i="1"/>
  <c r="F134" i="1"/>
  <c r="F136" i="1"/>
  <c r="F137" i="1"/>
  <c r="F146" i="1"/>
  <c r="F164" i="1"/>
  <c r="F165" i="1" s="1"/>
  <c r="F183" i="1"/>
  <c r="F188" i="1"/>
  <c r="F190" i="1" s="1"/>
  <c r="F196" i="1"/>
  <c r="F218" i="1"/>
  <c r="F223" i="1"/>
  <c r="F237" i="1"/>
  <c r="F240" i="1"/>
  <c r="F241" i="1" s="1"/>
  <c r="F244" i="1" s="1"/>
  <c r="F245" i="1"/>
  <c r="F246" i="1"/>
  <c r="F248" i="1"/>
  <c r="F249" i="1"/>
  <c r="F250" i="1"/>
  <c r="F258" i="1"/>
  <c r="F265" i="1"/>
  <c r="F272" i="1"/>
  <c r="F274" i="1"/>
  <c r="F275" i="1" s="1"/>
  <c r="F279" i="1" s="1"/>
  <c r="F276" i="1"/>
  <c r="F288" i="1"/>
  <c r="F289" i="1" s="1"/>
  <c r="F290" i="1"/>
  <c r="F293" i="1"/>
  <c r="F294" i="1" s="1"/>
  <c r="F299" i="1"/>
  <c r="F129" i="1"/>
  <c r="E132" i="1"/>
  <c r="E134" i="1"/>
  <c r="E136" i="1"/>
  <c r="E137" i="1"/>
  <c r="E163" i="1"/>
  <c r="E129" i="1"/>
  <c r="E121" i="1"/>
  <c r="D121" i="1"/>
  <c r="C121" i="1"/>
  <c r="D135" i="1" l="1"/>
  <c r="E165" i="1"/>
  <c r="E330" i="1"/>
  <c r="E279" i="1"/>
  <c r="E280" i="1" s="1"/>
  <c r="F280" i="1"/>
  <c r="C328" i="1"/>
  <c r="C330" i="1" s="1"/>
  <c r="D330" i="1"/>
  <c r="F298" i="1"/>
  <c r="F330" i="1" s="1"/>
  <c r="F149" i="1"/>
  <c r="F174" i="1" s="1"/>
  <c r="F135" i="1"/>
  <c r="C165" i="1"/>
  <c r="C174" i="1" s="1"/>
  <c r="C190" i="1"/>
  <c r="D190" i="1"/>
  <c r="C280" i="1"/>
  <c r="F185" i="1"/>
  <c r="F195" i="1" s="1"/>
  <c r="E135" i="1"/>
  <c r="F219" i="1"/>
  <c r="C135" i="1"/>
  <c r="C149" i="1"/>
  <c r="E149" i="1"/>
  <c r="D149" i="1"/>
  <c r="D174" i="1" s="1"/>
  <c r="D165" i="1"/>
  <c r="D185" i="1"/>
  <c r="D195" i="1" s="1"/>
  <c r="C185" i="1"/>
  <c r="C195" i="1" s="1"/>
  <c r="E185" i="1"/>
  <c r="E195" i="1" s="1"/>
  <c r="E174" i="1"/>
  <c r="C207" i="1"/>
  <c r="E207" i="1"/>
  <c r="C215" i="1"/>
  <c r="E215" i="1"/>
  <c r="D207" i="1"/>
  <c r="F207" i="1"/>
  <c r="D215" i="1"/>
  <c r="F215" i="1"/>
  <c r="F227" i="1" s="1"/>
  <c r="F128" i="1"/>
  <c r="E128" i="1"/>
  <c r="D128" i="1"/>
  <c r="C128" i="1"/>
  <c r="F127" i="1"/>
  <c r="D127" i="1"/>
  <c r="F126" i="1"/>
  <c r="E126" i="1"/>
  <c r="D126" i="1"/>
  <c r="C126" i="1"/>
  <c r="E125" i="1"/>
  <c r="D125" i="1"/>
  <c r="C125" i="1"/>
  <c r="F124" i="1"/>
  <c r="E124" i="1"/>
  <c r="D124" i="1"/>
  <c r="C124" i="1"/>
  <c r="F123" i="1"/>
  <c r="E123" i="1"/>
  <c r="D123" i="1"/>
  <c r="C123" i="1"/>
  <c r="E122" i="1"/>
  <c r="D122" i="1"/>
  <c r="C122" i="1"/>
  <c r="E227" i="1" l="1"/>
  <c r="F229" i="1"/>
  <c r="D227" i="1"/>
  <c r="D130" i="1"/>
  <c r="D138" i="1" s="1"/>
  <c r="F130" i="1"/>
  <c r="F138" i="1" s="1"/>
  <c r="C227" i="1"/>
  <c r="F112" i="1"/>
  <c r="E112" i="1"/>
  <c r="D112" i="1"/>
  <c r="C112" i="1"/>
  <c r="F113" i="1"/>
  <c r="E127" i="1"/>
  <c r="E130" i="1" s="1"/>
  <c r="E138" i="1" s="1"/>
  <c r="E113" i="1"/>
  <c r="D113" i="1"/>
  <c r="C127" i="1"/>
  <c r="C130" i="1" s="1"/>
  <c r="C138" i="1" s="1"/>
  <c r="C113" i="1"/>
  <c r="F114" i="1" l="1"/>
  <c r="F111" i="1"/>
  <c r="E111" i="1"/>
  <c r="E114" i="1" s="1"/>
  <c r="D111" i="1"/>
  <c r="D114" i="1" s="1"/>
  <c r="D109" i="1" s="1"/>
  <c r="C111" i="1"/>
  <c r="C114" i="1" s="1"/>
  <c r="F108" i="1"/>
  <c r="E108" i="1"/>
  <c r="D108" i="1"/>
  <c r="D107" i="1" s="1"/>
  <c r="C108" i="1"/>
  <c r="F107" i="1"/>
  <c r="F109" i="1" s="1"/>
  <c r="E107" i="1"/>
  <c r="E109" i="1" s="1"/>
  <c r="C107" i="1"/>
  <c r="F104" i="1"/>
  <c r="E104" i="1"/>
  <c r="D104" i="1"/>
  <c r="C104" i="1"/>
  <c r="F103" i="1"/>
  <c r="E103" i="1"/>
  <c r="D103" i="1"/>
  <c r="C103" i="1"/>
  <c r="F102" i="1"/>
  <c r="F105" i="1" s="1"/>
  <c r="E102" i="1"/>
  <c r="E105" i="1" s="1"/>
  <c r="D102" i="1"/>
  <c r="D105" i="1" s="1"/>
  <c r="C102" i="1"/>
  <c r="C105" i="1" s="1"/>
  <c r="F99" i="1"/>
  <c r="E99" i="1"/>
  <c r="D99" i="1"/>
  <c r="C101" i="1"/>
  <c r="C106" i="1"/>
  <c r="C99" i="1"/>
  <c r="F98" i="1"/>
  <c r="F100" i="1" s="1"/>
  <c r="E98" i="1"/>
  <c r="E100" i="1" s="1"/>
  <c r="D98" i="1"/>
  <c r="D100" i="1" s="1"/>
  <c r="C98" i="1"/>
  <c r="C100" i="1" s="1"/>
  <c r="F95" i="1"/>
  <c r="E95" i="1"/>
  <c r="D95" i="1"/>
  <c r="C95" i="1"/>
  <c r="F94" i="1"/>
  <c r="E94" i="1"/>
  <c r="D94" i="1"/>
  <c r="C94" i="1"/>
  <c r="F93" i="1"/>
  <c r="E93" i="1"/>
  <c r="E96" i="1" s="1"/>
  <c r="D93" i="1"/>
  <c r="C93" i="1"/>
  <c r="D92" i="1"/>
  <c r="F92" i="1"/>
  <c r="E92" i="1"/>
  <c r="C92" i="1"/>
  <c r="C96" i="1" s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E90" i="1" s="1"/>
  <c r="D82" i="1"/>
  <c r="C82" i="1"/>
  <c r="F81" i="1"/>
  <c r="F90" i="1" s="1"/>
  <c r="E81" i="1"/>
  <c r="D81" i="1"/>
  <c r="D90" i="1" s="1"/>
  <c r="C81" i="1"/>
  <c r="C90" i="1" s="1"/>
  <c r="C76" i="1"/>
  <c r="F76" i="1"/>
  <c r="E76" i="1"/>
  <c r="D76" i="1"/>
  <c r="F74" i="1"/>
  <c r="E74" i="1"/>
  <c r="D74" i="1"/>
  <c r="C74" i="1"/>
  <c r="F72" i="1"/>
  <c r="E72" i="1"/>
  <c r="D72" i="1"/>
  <c r="C72" i="1"/>
  <c r="F70" i="1"/>
  <c r="E70" i="1"/>
  <c r="D70" i="1"/>
  <c r="C70" i="1"/>
  <c r="F69" i="1"/>
  <c r="E69" i="1"/>
  <c r="D69" i="1"/>
  <c r="C69" i="1"/>
  <c r="F68" i="1"/>
  <c r="E68" i="1"/>
  <c r="D68" i="1"/>
  <c r="D71" i="1" s="1"/>
  <c r="C68" i="1"/>
  <c r="F96" i="1" l="1"/>
  <c r="C115" i="1"/>
  <c r="E115" i="1"/>
  <c r="C109" i="1"/>
  <c r="F115" i="1"/>
  <c r="E71" i="1"/>
  <c r="F71" i="1"/>
  <c r="D96" i="1"/>
  <c r="D115" i="1" s="1"/>
  <c r="F67" i="1"/>
  <c r="F77" i="1"/>
  <c r="F75" i="1"/>
  <c r="F101" i="1"/>
  <c r="F106" i="1"/>
  <c r="F65" i="1"/>
  <c r="E65" i="1"/>
  <c r="D65" i="1"/>
  <c r="C65" i="1"/>
  <c r="F64" i="1"/>
  <c r="E67" i="1"/>
  <c r="E77" i="1"/>
  <c r="E75" i="1"/>
  <c r="E101" i="1"/>
  <c r="E106" i="1"/>
  <c r="E64" i="1"/>
  <c r="D64" i="1"/>
  <c r="C64" i="1"/>
  <c r="F63" i="1"/>
  <c r="E63" i="1"/>
  <c r="D63" i="1"/>
  <c r="C63" i="1"/>
  <c r="F62" i="1"/>
  <c r="E62" i="1"/>
  <c r="D62" i="1"/>
  <c r="C62" i="1"/>
  <c r="C66" i="1" s="1"/>
  <c r="F54" i="1"/>
  <c r="E54" i="1"/>
  <c r="D54" i="1"/>
  <c r="F52" i="1"/>
  <c r="E52" i="1"/>
  <c r="D52" i="1"/>
  <c r="C52" i="1"/>
  <c r="F51" i="1"/>
  <c r="F53" i="1" s="1"/>
  <c r="E51" i="1"/>
  <c r="E53" i="1" s="1"/>
  <c r="D51" i="1"/>
  <c r="D53" i="1" s="1"/>
  <c r="C51" i="1"/>
  <c r="C53" i="1" s="1"/>
  <c r="F49" i="1"/>
  <c r="E49" i="1"/>
  <c r="D49" i="1"/>
  <c r="C49" i="1"/>
  <c r="F48" i="1"/>
  <c r="F50" i="1" s="1"/>
  <c r="E48" i="1"/>
  <c r="E50" i="1" s="1"/>
  <c r="D48" i="1"/>
  <c r="C48" i="1"/>
  <c r="C50" i="1" s="1"/>
  <c r="F45" i="1"/>
  <c r="E45" i="1"/>
  <c r="D45" i="1"/>
  <c r="C45" i="1"/>
  <c r="D50" i="1"/>
  <c r="D67" i="1"/>
  <c r="D77" i="1"/>
  <c r="D75" i="1"/>
  <c r="D101" i="1"/>
  <c r="D106" i="1"/>
  <c r="F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C46" i="1" s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F37" i="1" s="1"/>
  <c r="E33" i="1"/>
  <c r="E37" i="1" s="1"/>
  <c r="D33" i="1"/>
  <c r="D37" i="1" s="1"/>
  <c r="C33" i="1"/>
  <c r="D66" i="1" l="1"/>
  <c r="D116" i="1" s="1"/>
  <c r="F66" i="1"/>
  <c r="F116" i="1"/>
  <c r="E66" i="1"/>
  <c r="C37" i="1"/>
  <c r="F46" i="1"/>
  <c r="F29" i="1"/>
  <c r="E29" i="1"/>
  <c r="D29" i="1"/>
  <c r="C29" i="1"/>
  <c r="F28" i="1"/>
  <c r="E28" i="1"/>
  <c r="D28" i="1"/>
  <c r="C28" i="1"/>
  <c r="E27" i="1"/>
  <c r="F27" i="1"/>
  <c r="D27" i="1"/>
  <c r="C27" i="1"/>
  <c r="F26" i="1"/>
  <c r="E26" i="1"/>
  <c r="D26" i="1"/>
  <c r="C26" i="1"/>
  <c r="F25" i="1"/>
  <c r="E25" i="1"/>
  <c r="D25" i="1"/>
  <c r="C25" i="1"/>
  <c r="F18" i="1"/>
  <c r="E18" i="1"/>
  <c r="D18" i="1"/>
  <c r="C18" i="1"/>
  <c r="F16" i="1"/>
  <c r="E16" i="1"/>
  <c r="D16" i="1"/>
  <c r="C16" i="1"/>
  <c r="F14" i="1"/>
  <c r="E14" i="1"/>
  <c r="D14" i="1"/>
  <c r="C14" i="1"/>
  <c r="F12" i="1"/>
  <c r="E12" i="1"/>
  <c r="D12" i="1"/>
  <c r="C12" i="1"/>
  <c r="C31" i="1" l="1"/>
  <c r="C55" i="1" s="1"/>
  <c r="F8" i="1"/>
  <c r="E8" i="1"/>
  <c r="D8" i="1"/>
  <c r="C8" i="1"/>
  <c r="F7" i="1"/>
  <c r="E7" i="1"/>
  <c r="D7" i="1"/>
  <c r="C7" i="1"/>
  <c r="F6" i="1"/>
  <c r="E6" i="1"/>
  <c r="D6" i="1"/>
  <c r="C6" i="1"/>
  <c r="F15" i="1"/>
  <c r="F17" i="1"/>
  <c r="F20" i="1"/>
  <c r="F24" i="1"/>
  <c r="F30" i="1"/>
  <c r="F31" i="1" s="1"/>
  <c r="F55" i="1" s="1"/>
  <c r="E15" i="1"/>
  <c r="E17" i="1"/>
  <c r="E20" i="1"/>
  <c r="E24" i="1"/>
  <c r="E30" i="1"/>
  <c r="E31" i="1" s="1"/>
  <c r="E44" i="1"/>
  <c r="E46" i="1" s="1"/>
  <c r="D15" i="1"/>
  <c r="D17" i="1"/>
  <c r="D20" i="1"/>
  <c r="D24" i="1"/>
  <c r="D30" i="1"/>
  <c r="D31" i="1" s="1"/>
  <c r="D44" i="1"/>
  <c r="D46" i="1" s="1"/>
  <c r="C15" i="1"/>
  <c r="C17" i="1"/>
  <c r="C20" i="1"/>
  <c r="C24" i="1"/>
  <c r="C30" i="1"/>
  <c r="C67" i="1"/>
  <c r="C71" i="1" s="1"/>
  <c r="C75" i="1"/>
  <c r="F5" i="1"/>
  <c r="E5" i="1"/>
  <c r="E9" i="1" s="1"/>
  <c r="D5" i="1"/>
  <c r="C5" i="1"/>
  <c r="C9" i="1" s="1"/>
  <c r="D9" i="1" l="1"/>
  <c r="F9" i="1"/>
  <c r="F19" i="1" s="1"/>
  <c r="F57" i="1" s="1"/>
  <c r="E55" i="1"/>
  <c r="D55" i="1"/>
  <c r="C77" i="1"/>
  <c r="C19" i="1"/>
  <c r="C57" i="1" s="1"/>
  <c r="E19" i="1"/>
  <c r="D19" i="1"/>
  <c r="D57" i="1" l="1"/>
</calcChain>
</file>

<file path=xl/comments1.xml><?xml version="1.0" encoding="utf-8"?>
<comments xmlns="http://schemas.openxmlformats.org/spreadsheetml/2006/main">
  <authors>
    <author>Сказка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Сказка</t>
        </r>
      </text>
    </comment>
  </commentList>
</comments>
</file>

<file path=xl/sharedStrings.xml><?xml version="1.0" encoding="utf-8"?>
<sst xmlns="http://schemas.openxmlformats.org/spreadsheetml/2006/main" count="1331" uniqueCount="355">
  <si>
    <t>Наименование продукта</t>
  </si>
  <si>
    <t>Белки</t>
  </si>
  <si>
    <t>Жиры</t>
  </si>
  <si>
    <t>УглеводыКкал</t>
  </si>
  <si>
    <t>Ккал</t>
  </si>
  <si>
    <t>Выход</t>
  </si>
  <si>
    <t>Греча</t>
  </si>
  <si>
    <t>Молоко цельное</t>
  </si>
  <si>
    <t>Масло сливочное</t>
  </si>
  <si>
    <t>Сахар</t>
  </si>
  <si>
    <t xml:space="preserve">Завтрак </t>
  </si>
  <si>
    <t xml:space="preserve">Чай </t>
  </si>
  <si>
    <t>Хлеб пшеничный</t>
  </si>
  <si>
    <t>Сыр "Российский"</t>
  </si>
  <si>
    <t>Итого:</t>
  </si>
  <si>
    <t>Картофель</t>
  </si>
  <si>
    <t>Морковь</t>
  </si>
  <si>
    <t>Макаронные изделия</t>
  </si>
  <si>
    <t>Бульон куриный</t>
  </si>
  <si>
    <t>Мясо птицы</t>
  </si>
  <si>
    <t>Лук репчатый</t>
  </si>
  <si>
    <t>Яйцо</t>
  </si>
  <si>
    <t>1 день</t>
  </si>
  <si>
    <t>Овощное рагу:</t>
  </si>
  <si>
    <t>Биточки куриные запеченые:</t>
  </si>
  <si>
    <t>Суп вермишелевый на курином бульоне:</t>
  </si>
  <si>
    <t>Капуста свежая</t>
  </si>
  <si>
    <t>Зеленый горошнк консервированный</t>
  </si>
  <si>
    <t>Томатная паста</t>
  </si>
  <si>
    <t>Компот из смеси сухофруктов:</t>
  </si>
  <si>
    <t>Сухофрукты</t>
  </si>
  <si>
    <t>Хлеб шеничный</t>
  </si>
  <si>
    <t>Хлеб ржаной</t>
  </si>
  <si>
    <t>Обед:</t>
  </si>
  <si>
    <t>Каша гречневая молочная жидкая:</t>
  </si>
  <si>
    <t>2 день</t>
  </si>
  <si>
    <t>Завтрак:</t>
  </si>
  <si>
    <t>Каша геркулесовая молочная жидкая:</t>
  </si>
  <si>
    <t>Геркулес</t>
  </si>
  <si>
    <t>Какао порошок</t>
  </si>
  <si>
    <t>Хлеб Пшеничный</t>
  </si>
  <si>
    <t>Мясо говядина 1 категории</t>
  </si>
  <si>
    <t>Свекла</t>
  </si>
  <si>
    <t>Борщ на м/к бульонесо сметаной:</t>
  </si>
  <si>
    <t>Сметана</t>
  </si>
  <si>
    <t>Треска, хек, минтай</t>
  </si>
  <si>
    <t>Рыба запеченая в молочном сосе:</t>
  </si>
  <si>
    <t>200/5</t>
  </si>
  <si>
    <t>Мука пшеничная в/с</t>
  </si>
  <si>
    <t>Помидор свежий порционно</t>
  </si>
  <si>
    <t>Картофель отварной с маслом сливочным:</t>
  </si>
  <si>
    <t>Кисель из ягод (свежих или замороженых):</t>
  </si>
  <si>
    <t>Ягоды</t>
  </si>
  <si>
    <t>Крахмал</t>
  </si>
  <si>
    <t xml:space="preserve">Огурец свежий </t>
  </si>
  <si>
    <t>Салат из свежих помидор и огурцов:</t>
  </si>
  <si>
    <t xml:space="preserve">Помидор свежий </t>
  </si>
  <si>
    <t>Масло растительное</t>
  </si>
  <si>
    <t>3 день</t>
  </si>
  <si>
    <t>Творожно - морковный пудинг со сгущеным молоком:</t>
  </si>
  <si>
    <t>Творог 9 % жирности</t>
  </si>
  <si>
    <t>Крупа манная</t>
  </si>
  <si>
    <t>Молоко сгущеное</t>
  </si>
  <si>
    <t>Кофейный напиток с молоком:</t>
  </si>
  <si>
    <t>Суп рисовый с курицей:</t>
  </si>
  <si>
    <t>Курицв 1 категория</t>
  </si>
  <si>
    <t>Рис</t>
  </si>
  <si>
    <t>Печень говяжья по "строгановски":</t>
  </si>
  <si>
    <t xml:space="preserve">Печень говяжья </t>
  </si>
  <si>
    <t>Сметана 15% жирности</t>
  </si>
  <si>
    <t>Мука пшеничная</t>
  </si>
  <si>
    <t>Картофельное пюре:</t>
  </si>
  <si>
    <t>Компот из сухофруктов:</t>
  </si>
  <si>
    <t>Сухофрукты(смесь)</t>
  </si>
  <si>
    <t xml:space="preserve">Итого: </t>
  </si>
  <si>
    <t>Итого завтрак :</t>
  </si>
  <si>
    <t>Итого обед:</t>
  </si>
  <si>
    <t>Какао с молоком :</t>
  </si>
  <si>
    <t>200/30</t>
  </si>
  <si>
    <t>4 день</t>
  </si>
  <si>
    <t>Каша пшенная молочная жидкая:</t>
  </si>
  <si>
    <t>Пшено</t>
  </si>
  <si>
    <t>Чай с лимоном:</t>
  </si>
  <si>
    <t>Чай</t>
  </si>
  <si>
    <t>Лимон</t>
  </si>
  <si>
    <t>Щи из свежей капусты на м/к бульоне со сметаной:</t>
  </si>
  <si>
    <t>Итого 3 день:</t>
  </si>
  <si>
    <t>Напиток из шиповника:</t>
  </si>
  <si>
    <t>Шиповник</t>
  </si>
  <si>
    <t xml:space="preserve">Кофейный напиток </t>
  </si>
  <si>
    <t>Икра свекольная:</t>
  </si>
  <si>
    <t>Итого :</t>
  </si>
  <si>
    <t>Итого 4 день:</t>
  </si>
  <si>
    <t>40/40</t>
  </si>
  <si>
    <t>215/5</t>
  </si>
  <si>
    <t>5 день</t>
  </si>
  <si>
    <t>Омлет запеченый:</t>
  </si>
  <si>
    <t>Зеленый горошек</t>
  </si>
  <si>
    <t>Какао :</t>
  </si>
  <si>
    <t>Молоко</t>
  </si>
  <si>
    <t>2 Завтрак:</t>
  </si>
  <si>
    <t>Яблоко</t>
  </si>
  <si>
    <t>Обед :</t>
  </si>
  <si>
    <t>Суп рыбный (консервы рыбные):</t>
  </si>
  <si>
    <t>Рыбные консервы(лосось, сайра)</t>
  </si>
  <si>
    <t>Перловая крупа</t>
  </si>
  <si>
    <t>1 - 4 класс                   1 неделя</t>
  </si>
  <si>
    <t>Котлета мясная:</t>
  </si>
  <si>
    <t>Мясо (говядина 1 категории)</t>
  </si>
  <si>
    <t>Капуста тушеная с овощами:</t>
  </si>
  <si>
    <t>Сухофрукты ( смесь)</t>
  </si>
  <si>
    <t xml:space="preserve">Хлеб пшеничный </t>
  </si>
  <si>
    <t>Итого за обед :</t>
  </si>
  <si>
    <t>2 неделя</t>
  </si>
  <si>
    <t>6 день</t>
  </si>
  <si>
    <t>Каша манная молочная:</t>
  </si>
  <si>
    <t>Кофейный напиток</t>
  </si>
  <si>
    <t>Сосиска в/с</t>
  </si>
  <si>
    <t>Итого завтрак:</t>
  </si>
  <si>
    <t>2 Завтрак: Банан</t>
  </si>
  <si>
    <t>Огурец соленый</t>
  </si>
  <si>
    <t>Рыба запеченая "по русски":</t>
  </si>
  <si>
    <t>Рыба(треска,хек, минтай)</t>
  </si>
  <si>
    <t>Мука</t>
  </si>
  <si>
    <t>Кукуруза консервированная</t>
  </si>
  <si>
    <t>Сухофрукты (смесь)</t>
  </si>
  <si>
    <t xml:space="preserve"> Рассольник на м/к бульне со сметаной:</t>
  </si>
  <si>
    <t xml:space="preserve">     200/5 </t>
  </si>
  <si>
    <t>7 день</t>
  </si>
  <si>
    <t>Творжно - рисовая запеканка с повидлом:</t>
  </si>
  <si>
    <t xml:space="preserve">Трворог 9 % </t>
  </si>
  <si>
    <t>Повидло</t>
  </si>
  <si>
    <t>Масло сливочкое</t>
  </si>
  <si>
    <t>Суп овощной на курином бульоне со сметаной:</t>
  </si>
  <si>
    <t>Курица отврная (порционно):</t>
  </si>
  <si>
    <t>Курица 1 категория</t>
  </si>
  <si>
    <t>2 Завтрак:Сок</t>
  </si>
  <si>
    <t>Макаронные изделия:</t>
  </si>
  <si>
    <t>Икра кабачковая консервированная:</t>
  </si>
  <si>
    <t>Итого 7 день:</t>
  </si>
  <si>
    <t>145/30</t>
  </si>
  <si>
    <t>Итого за обед:</t>
  </si>
  <si>
    <t>8 день</t>
  </si>
  <si>
    <t>Каша рисовая молочная (жидкая):</t>
  </si>
  <si>
    <t>Какао с молоком:</t>
  </si>
  <si>
    <t>2 Завтрак: Апельсин</t>
  </si>
  <si>
    <t>Суп гороховый на м/к бульоне:</t>
  </si>
  <si>
    <t>Мясо говялина 1 категории</t>
  </si>
  <si>
    <t>Горох</t>
  </si>
  <si>
    <t>Тефтели мясные запеченые с овощнм соусом:</t>
  </si>
  <si>
    <t xml:space="preserve">Греча отварная рассыпчатая </t>
  </si>
  <si>
    <t>с маслом сливочным</t>
  </si>
  <si>
    <t>с маслом растительным</t>
  </si>
  <si>
    <t xml:space="preserve">Капуста квашеная </t>
  </si>
  <si>
    <t>Итого 8 день:</t>
  </si>
  <si>
    <t>55/30</t>
  </si>
  <si>
    <t>9 день</t>
  </si>
  <si>
    <t>Вермишель млочная:</t>
  </si>
  <si>
    <t>Чай с молоком:</t>
  </si>
  <si>
    <t>2 Завтрак: Мандарин</t>
  </si>
  <si>
    <t>Суп фасолевый на м/кбульоне:</t>
  </si>
  <si>
    <t>Фасоль</t>
  </si>
  <si>
    <t>Гуляш из мяса:</t>
  </si>
  <si>
    <t>Огурец соленый ( порционно)</t>
  </si>
  <si>
    <t>Итого 9 день:</t>
  </si>
  <si>
    <t>35/40</t>
  </si>
  <si>
    <t>10 день</t>
  </si>
  <si>
    <t>Запеканка рисовая со сгущеным молоком:</t>
  </si>
  <si>
    <t>Какаос молоком:</t>
  </si>
  <si>
    <t>225/20</t>
  </si>
  <si>
    <t>Суп картофельный с мясными фрикадельками:</t>
  </si>
  <si>
    <t>Мрковь</t>
  </si>
  <si>
    <t>Суфле из печенис овощным соусом:</t>
  </si>
  <si>
    <t>Печень говяжья</t>
  </si>
  <si>
    <t>Кисель из ягод:</t>
  </si>
  <si>
    <t>Ягоды(свежие,замороженые)</t>
  </si>
  <si>
    <t>Салат из свеклы с зеленым горошком:</t>
  </si>
  <si>
    <t>Зеленый горошек консервированный</t>
  </si>
  <si>
    <t>Итого обед :</t>
  </si>
  <si>
    <t>Итого 10 день:</t>
  </si>
  <si>
    <t>200/20</t>
  </si>
  <si>
    <t>90/30</t>
  </si>
  <si>
    <t>2 Завтрак:Яблоко</t>
  </si>
  <si>
    <t>2 Завтрак: Сок</t>
  </si>
  <si>
    <t>Итого 2 день:</t>
  </si>
  <si>
    <t>Итого 1 день:</t>
  </si>
  <si>
    <t>Итого 5 день:</t>
  </si>
  <si>
    <t>Итого 6 день:</t>
  </si>
  <si>
    <t>Чай с сахаром:</t>
  </si>
  <si>
    <t>Итого  завтрак:</t>
  </si>
  <si>
    <t>2 завтак:  Йогурт</t>
  </si>
  <si>
    <t>2 Завтак:Йогурт</t>
  </si>
  <si>
    <t>2 Завтрак: Йогурт</t>
  </si>
  <si>
    <t>Плов с говядиной:</t>
  </si>
  <si>
    <t>Рассольник на м/ б со сметаной:</t>
  </si>
  <si>
    <t>Крупа перловая</t>
  </si>
  <si>
    <t>Соль</t>
  </si>
  <si>
    <t>№ рецептуры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</si>
  <si>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</si>
  <si>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</si>
  <si>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</si>
  <si>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</si>
  <si>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</si>
  <si>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</si>
  <si>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</si>
  <si>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</si>
  <si>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</si>
  <si>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</si>
  <si>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</si>
  <si>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</si>
  <si>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</si>
  <si>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</si>
  <si>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</si>
  <si>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</si>
  <si>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</si>
  <si>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</si>
  <si>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</si>
  <si>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</si>
  <si>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</si>
  <si>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</si>
  <si>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</si>
  <si>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</si>
  <si>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Компот из кураги:</t>
  </si>
  <si>
    <t>№25</t>
  </si>
  <si>
    <t>Салат из свежей капусты:</t>
  </si>
  <si>
    <t>№26</t>
  </si>
  <si>
    <t>№27</t>
  </si>
  <si>
    <t>№28</t>
  </si>
  <si>
    <t>№29</t>
  </si>
  <si>
    <t>№30</t>
  </si>
  <si>
    <t>№31</t>
  </si>
  <si>
    <t>Суп рыбный:</t>
  </si>
  <si>
    <t>Рыба свежая (теска , хек, минтай)</t>
  </si>
  <si>
    <t>Сухофрукты ( яблоко сушеное)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</si>
  <si>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</si>
  <si>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</si>
  <si>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</si>
  <si>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</si>
  <si>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</si>
  <si>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</si>
  <si>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</si>
  <si>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</si>
  <si>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</si>
  <si>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</si>
  <si>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</si>
  <si>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Лимонный напиток:</t>
  </si>
  <si>
    <t>Лимонный свежий</t>
  </si>
  <si>
    <t>№44</t>
  </si>
  <si>
    <t>№46</t>
  </si>
  <si>
    <t>№47</t>
  </si>
  <si>
    <t>№48</t>
  </si>
  <si>
    <t>№50</t>
  </si>
  <si>
    <t>№51</t>
  </si>
  <si>
    <t>№52</t>
  </si>
  <si>
    <t>№53</t>
  </si>
  <si>
    <t>Сок фруктовый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</si>
  <si>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</si>
  <si>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</si>
  <si>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</si>
  <si>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</si>
  <si>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</si>
  <si>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</si>
  <si>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</si>
  <si>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</si>
  <si>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</si>
  <si>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Огурец свежий</t>
  </si>
  <si>
    <t>Курица</t>
  </si>
  <si>
    <t>Суп вермишелевый с курицей:</t>
  </si>
  <si>
    <t>Суфле из печени с овощным соусом:</t>
  </si>
  <si>
    <t>Граммы</t>
  </si>
  <si>
    <t>Б</t>
  </si>
  <si>
    <t>Ж</t>
  </si>
  <si>
    <t>У</t>
  </si>
  <si>
    <t>Ккал.</t>
  </si>
  <si>
    <t>Выход порции</t>
  </si>
  <si>
    <t>№46а</t>
  </si>
  <si>
    <t>2 Завтрак: Яблоко</t>
  </si>
  <si>
    <t>Полдник:</t>
  </si>
  <si>
    <t>Кофе с молоком:</t>
  </si>
  <si>
    <t>Плюшка сдобная:</t>
  </si>
  <si>
    <t>Дрожжи</t>
  </si>
  <si>
    <t>Итого за день:</t>
  </si>
  <si>
    <t xml:space="preserve">День 1 </t>
  </si>
  <si>
    <t>Итого полдник:</t>
  </si>
  <si>
    <t>№64</t>
  </si>
  <si>
    <t>День 2</t>
  </si>
  <si>
    <t>День 4</t>
  </si>
  <si>
    <t>№65</t>
  </si>
  <si>
    <t>Каша кукурузная  молочная жидкая:</t>
  </si>
  <si>
    <t>№66</t>
  </si>
  <si>
    <t>Салат из свеклы с соленым огурцом:</t>
  </si>
  <si>
    <t>№67</t>
  </si>
  <si>
    <t>Булочка с изюмом:</t>
  </si>
  <si>
    <t>Изюм</t>
  </si>
  <si>
    <t>День 3</t>
  </si>
  <si>
    <t>День 5</t>
  </si>
  <si>
    <t>№68</t>
  </si>
  <si>
    <t>Каша пшеничная  молочная жидкая:</t>
  </si>
  <si>
    <t>День 6</t>
  </si>
  <si>
    <t>Тефтели мясные запеченые с овощным соусом:</t>
  </si>
  <si>
    <t>Суфле из курицы с овощным соусом:</t>
  </si>
  <si>
    <t>День 7</t>
  </si>
  <si>
    <t>Творожная запеканка с изюмом с повидлом:</t>
  </si>
  <si>
    <t>№69</t>
  </si>
  <si>
    <t>Рыба запеченая в молочном соусе:</t>
  </si>
  <si>
    <t>Каша рисовая  молочная:</t>
  </si>
  <si>
    <t>Котлета рыбная</t>
  </si>
  <si>
    <t>Рыба (треска, хек, минтай)</t>
  </si>
  <si>
    <t>№70</t>
  </si>
  <si>
    <t>Картофель тушеный :</t>
  </si>
  <si>
    <t>№71</t>
  </si>
  <si>
    <t>№72</t>
  </si>
  <si>
    <t>Крупа ячневая</t>
  </si>
  <si>
    <t>Чай с сахаром</t>
  </si>
  <si>
    <t>Пирожок с капустой и яйцом</t>
  </si>
  <si>
    <t>Капуста</t>
  </si>
  <si>
    <t>№73</t>
  </si>
  <si>
    <t>Каша ячневая молочная:</t>
  </si>
  <si>
    <t>День 8</t>
  </si>
  <si>
    <t>Кофейный напиток с молоком</t>
  </si>
  <si>
    <t>№74</t>
  </si>
  <si>
    <t>День 9</t>
  </si>
  <si>
    <t>Печенье</t>
  </si>
  <si>
    <t>Салат из квашеной капусты:</t>
  </si>
  <si>
    <t>Капуста квашеная</t>
  </si>
  <si>
    <t>Крупа рисовая</t>
  </si>
  <si>
    <t>Салат  с соленым огурцом и  зеленым горошком:</t>
  </si>
  <si>
    <t>Картофель свежий</t>
  </si>
  <si>
    <t>Зеленый горошек(кукуруза консервированная)</t>
  </si>
  <si>
    <t>Лук репчатый (зеленый)</t>
  </si>
  <si>
    <t>Салат картофельный с растительным маслом:</t>
  </si>
  <si>
    <t>Макаронная запеканка со сметаной:</t>
  </si>
  <si>
    <t>Вермишель молочная жидкая:</t>
  </si>
  <si>
    <t xml:space="preserve">Вермишель </t>
  </si>
  <si>
    <t>Каша пшенная молочная:</t>
  </si>
  <si>
    <t>Дошкольный возраст зимний период</t>
  </si>
  <si>
    <t>200/12</t>
  </si>
  <si>
    <t>35/30</t>
  </si>
  <si>
    <t>200/10</t>
  </si>
  <si>
    <t>80/30</t>
  </si>
  <si>
    <t>180/15</t>
  </si>
  <si>
    <t>60/40</t>
  </si>
  <si>
    <t>40/30</t>
  </si>
  <si>
    <t>105/5</t>
  </si>
  <si>
    <t>160/30</t>
  </si>
  <si>
    <t>70/30</t>
  </si>
  <si>
    <t>190/30</t>
  </si>
  <si>
    <t>Итиого полдник:</t>
  </si>
  <si>
    <t>9 День</t>
  </si>
  <si>
    <t>Суп гороховый на м/кбульоне:</t>
  </si>
  <si>
    <t>курага</t>
  </si>
  <si>
    <t>Суп фасолевый на м/к бульоне:</t>
  </si>
  <si>
    <t>фасоль</t>
  </si>
  <si>
    <t>Крупа пшеничная</t>
  </si>
  <si>
    <t>Куупа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</si>
</sst>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6" fillId="0" borderId="1" xfId="0" applyFont="1" applyBorder="1"/>
    <xf numFmtId="0" fontId="1" fillId="0" borderId="0" xfId="0" applyFont="1" applyFill="1" applyBorder="1"/>
    <xf numFmtId="1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"/>
  <sheetViews>
    <sheetView view="pageBreakPreview" topLeftCell="A275" zoomScaleNormal="100" zoomScaleSheetLayoutView="100" workbookViewId="0">
      <selection activeCell="J259" sqref="J259"/>
    </sheetView>
  </sheetViews>
  <sheetFormatPr defaultRowHeight="15" x14ac:dyDescent="0.25"/>
  <cols>
    <col min="1" max="1" width="50.28515625" customWidth="1"/>
    <col min="2" max="2" width="5" customWidth="1"/>
    <col min="3" max="4" width="8.140625" customWidth="1"/>
    <col min="5" max="5" width="8.5703125" customWidth="1"/>
    <col min="6" max="6" width="8.85546875" customWidth="1"/>
    <col min="7" max="7" width="6.85546875" customWidth="1"/>
    <col min="8" max="8" width="7.7109375" customWidth="1"/>
  </cols>
  <sheetData>
    <row r="1" spans="1:8" ht="19.5" customHeight="1" x14ac:dyDescent="0.25">
      <c r="A1" s="5" t="s">
        <v>106</v>
      </c>
    </row>
    <row r="2" spans="1:8" ht="17.25" customHeight="1" x14ac:dyDescent="0.25">
      <c r="A2" s="2" t="s">
        <v>10</v>
      </c>
    </row>
    <row r="3" spans="1:8" ht="15.75" customHeight="1" x14ac:dyDescent="0.25">
      <c r="A3" s="1" t="s">
        <v>0</v>
      </c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22</v>
      </c>
    </row>
    <row r="4" spans="1:8" x14ac:dyDescent="0.25">
      <c r="A4" s="1" t="s">
        <v>34</v>
      </c>
      <c r="B4" s="7"/>
      <c r="C4" s="7"/>
      <c r="D4" s="7"/>
      <c r="E4" s="7"/>
      <c r="F4" s="7"/>
      <c r="G4" s="7"/>
      <c r="H4" s="1"/>
    </row>
    <row r="5" spans="1:8" x14ac:dyDescent="0.25">
      <c r="A5" s="1" t="s">
        <v>6</v>
      </c>
      <c r="B5" s="7">
        <v>25</v>
      </c>
      <c r="C5" s="7">
        <f>B5*12.6/100</f>
        <v>3.15</v>
      </c>
      <c r="D5" s="7">
        <f>B5*3.3/100</f>
        <v>0.82499999999999996</v>
      </c>
      <c r="E5" s="7">
        <f>B5*62.1/100</f>
        <v>15.525</v>
      </c>
      <c r="F5" s="7">
        <f>B5*335/100</f>
        <v>83.75</v>
      </c>
      <c r="G5" s="7"/>
      <c r="H5" s="1"/>
    </row>
    <row r="6" spans="1:8" x14ac:dyDescent="0.25">
      <c r="A6" s="1" t="s">
        <v>7</v>
      </c>
      <c r="B6" s="7">
        <v>100</v>
      </c>
      <c r="C6" s="7">
        <f>B6*2.8/100</f>
        <v>2.8</v>
      </c>
      <c r="D6" s="7">
        <f>B6*3.5/100</f>
        <v>3.5</v>
      </c>
      <c r="E6" s="7">
        <f>B6*4.7/100</f>
        <v>4.7</v>
      </c>
      <c r="F6" s="7">
        <f>B6*58/100</f>
        <v>58</v>
      </c>
      <c r="G6" s="7"/>
      <c r="H6" s="1"/>
    </row>
    <row r="7" spans="1:8" x14ac:dyDescent="0.25">
      <c r="A7" s="1" t="s">
        <v>8</v>
      </c>
      <c r="B7" s="7">
        <v>3</v>
      </c>
      <c r="C7" s="7">
        <f>B7*0.7/100</f>
        <v>2.0999999999999998E-2</v>
      </c>
      <c r="D7" s="7">
        <f>B7*72.5/100</f>
        <v>2.1749999999999998</v>
      </c>
      <c r="E7" s="7">
        <f>B7*1/100</f>
        <v>0.03</v>
      </c>
      <c r="F7" s="7">
        <f>B7*709/100</f>
        <v>21.27</v>
      </c>
      <c r="G7" s="7"/>
      <c r="H7" s="1"/>
    </row>
    <row r="8" spans="1:8" x14ac:dyDescent="0.25">
      <c r="A8" s="1" t="s">
        <v>9</v>
      </c>
      <c r="B8" s="8">
        <v>5</v>
      </c>
      <c r="C8" s="7">
        <f>B8*0/100</f>
        <v>0</v>
      </c>
      <c r="D8" s="7">
        <f>B8*0/100</f>
        <v>0</v>
      </c>
      <c r="E8" s="7">
        <f>B8*99.8/100</f>
        <v>4.99</v>
      </c>
      <c r="F8" s="7">
        <f>B8*379/100</f>
        <v>18.95</v>
      </c>
      <c r="G8" s="7"/>
      <c r="H8" s="1"/>
    </row>
    <row r="9" spans="1:8" x14ac:dyDescent="0.25">
      <c r="A9" s="2" t="s">
        <v>14</v>
      </c>
      <c r="B9" s="5"/>
      <c r="C9" s="5">
        <f>C5+C6+C7+C8</f>
        <v>5.9709999999999992</v>
      </c>
      <c r="D9" s="5">
        <f t="shared" ref="D9:F9" si="0">D5+D6+D7+D8</f>
        <v>6.5</v>
      </c>
      <c r="E9" s="5">
        <f t="shared" si="0"/>
        <v>25.245000000000005</v>
      </c>
      <c r="F9" s="5">
        <f t="shared" si="0"/>
        <v>181.97</v>
      </c>
      <c r="G9" s="5">
        <v>202</v>
      </c>
      <c r="H9" s="1"/>
    </row>
    <row r="10" spans="1:8" x14ac:dyDescent="0.25">
      <c r="A10" s="1" t="s">
        <v>188</v>
      </c>
      <c r="B10" s="7"/>
      <c r="C10" s="7"/>
      <c r="D10" s="7"/>
      <c r="E10" s="7"/>
      <c r="F10" s="7"/>
      <c r="G10" s="5"/>
      <c r="H10" s="1"/>
    </row>
    <row r="11" spans="1:8" x14ac:dyDescent="0.25">
      <c r="A11" s="1" t="s">
        <v>11</v>
      </c>
      <c r="B11" s="7">
        <v>0.3</v>
      </c>
      <c r="C11" s="7">
        <f>B11*0/100</f>
        <v>0</v>
      </c>
      <c r="D11" s="7">
        <f>B11*0/100</f>
        <v>0</v>
      </c>
      <c r="E11" s="7">
        <f>B11*0/100</f>
        <v>0</v>
      </c>
      <c r="F11" s="7">
        <f>B11*0/100</f>
        <v>0</v>
      </c>
      <c r="G11" s="5"/>
      <c r="H11" s="1"/>
    </row>
    <row r="12" spans="1:8" x14ac:dyDescent="0.25">
      <c r="A12" s="1" t="s">
        <v>9</v>
      </c>
      <c r="B12" s="8">
        <v>8</v>
      </c>
      <c r="C12" s="7">
        <f>B12*0/100</f>
        <v>0</v>
      </c>
      <c r="D12" s="7">
        <f>B12*0/100</f>
        <v>0</v>
      </c>
      <c r="E12" s="7">
        <f>B12*99.8/100</f>
        <v>7.984</v>
      </c>
      <c r="F12" s="7">
        <f>B12*379/100</f>
        <v>30.32</v>
      </c>
      <c r="G12" s="5"/>
      <c r="H12" s="1"/>
    </row>
    <row r="13" spans="1:8" x14ac:dyDescent="0.25">
      <c r="A13" s="1"/>
      <c r="B13" s="7"/>
      <c r="C13" s="7"/>
      <c r="D13" s="7"/>
      <c r="E13" s="7"/>
      <c r="F13" s="7"/>
      <c r="G13" s="5">
        <v>200</v>
      </c>
      <c r="H13" s="1"/>
    </row>
    <row r="14" spans="1:8" x14ac:dyDescent="0.25">
      <c r="A14" s="1" t="s">
        <v>12</v>
      </c>
      <c r="B14" s="8">
        <v>40</v>
      </c>
      <c r="C14" s="7">
        <f>B14*7.7/100</f>
        <v>3.08</v>
      </c>
      <c r="D14" s="7">
        <f>B14*3/100</f>
        <v>1.2</v>
      </c>
      <c r="E14" s="7">
        <f>B14*49.8/100</f>
        <v>19.920000000000002</v>
      </c>
      <c r="F14" s="7">
        <f>B14*262/100</f>
        <v>104.8</v>
      </c>
      <c r="G14" s="5">
        <v>40</v>
      </c>
      <c r="H14" s="1"/>
    </row>
    <row r="15" spans="1:8" x14ac:dyDescent="0.25">
      <c r="A15" s="1"/>
      <c r="B15" s="7"/>
      <c r="C15" s="7">
        <f t="shared" ref="C15:C67" si="1">B15*12.6/100</f>
        <v>0</v>
      </c>
      <c r="D15" s="7">
        <f t="shared" ref="D15:D67" si="2">B15*3.3/100</f>
        <v>0</v>
      </c>
      <c r="E15" s="7">
        <f t="shared" ref="E15:E44" si="3">B15*62.1/100</f>
        <v>0</v>
      </c>
      <c r="F15" s="7">
        <f t="shared" ref="F15:F30" si="4">B15*335/100</f>
        <v>0</v>
      </c>
      <c r="G15" s="5"/>
      <c r="H15" s="1"/>
    </row>
    <row r="16" spans="1:8" x14ac:dyDescent="0.25">
      <c r="A16" s="1" t="s">
        <v>8</v>
      </c>
      <c r="B16" s="7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1"/>
    </row>
    <row r="17" spans="1:8" x14ac:dyDescent="0.25">
      <c r="A17" s="1"/>
      <c r="B17" s="7"/>
      <c r="C17" s="7">
        <f t="shared" si="1"/>
        <v>0</v>
      </c>
      <c r="D17" s="7">
        <f t="shared" si="2"/>
        <v>0</v>
      </c>
      <c r="E17" s="7">
        <f t="shared" si="3"/>
        <v>0</v>
      </c>
      <c r="F17" s="7">
        <f t="shared" si="4"/>
        <v>0</v>
      </c>
      <c r="G17" s="5"/>
      <c r="H17" s="1"/>
    </row>
    <row r="18" spans="1:8" x14ac:dyDescent="0.25">
      <c r="A18" s="1" t="s">
        <v>13</v>
      </c>
      <c r="B18" s="8">
        <v>11</v>
      </c>
      <c r="C18" s="7">
        <f>B18*23/100</f>
        <v>2.5299999999999998</v>
      </c>
      <c r="D18" s="7">
        <f>B18*29/100</f>
        <v>3.19</v>
      </c>
      <c r="E18" s="7">
        <f>B18*0/100</f>
        <v>0</v>
      </c>
      <c r="F18" s="7">
        <f>B18*360/100</f>
        <v>39.6</v>
      </c>
      <c r="G18" s="5">
        <v>10</v>
      </c>
      <c r="H18" s="1"/>
    </row>
    <row r="19" spans="1:8" x14ac:dyDescent="0.25">
      <c r="A19" s="2" t="s">
        <v>118</v>
      </c>
      <c r="B19" s="5"/>
      <c r="C19" s="5">
        <f>C9+C14+C16+C18</f>
        <v>11.636999999999997</v>
      </c>
      <c r="D19" s="5">
        <f>D9+D14+D16+D18</f>
        <v>16.690000000000001</v>
      </c>
      <c r="E19" s="5">
        <f>E9+E12+E14+E16</f>
        <v>53.229000000000006</v>
      </c>
      <c r="F19" s="5">
        <f>F9+F12+F14+F16+F18</f>
        <v>413.40999999999997</v>
      </c>
      <c r="G19" s="5">
        <v>460</v>
      </c>
      <c r="H19" s="1"/>
    </row>
    <row r="20" spans="1:8" x14ac:dyDescent="0.25">
      <c r="A20" s="1"/>
      <c r="B20" s="7"/>
      <c r="C20" s="7">
        <f t="shared" si="1"/>
        <v>0</v>
      </c>
      <c r="D20" s="7">
        <f t="shared" si="2"/>
        <v>0</v>
      </c>
      <c r="E20" s="7">
        <f t="shared" si="3"/>
        <v>0</v>
      </c>
      <c r="F20" s="7">
        <f t="shared" si="4"/>
        <v>0</v>
      </c>
      <c r="G20" s="7"/>
      <c r="H20" s="1"/>
    </row>
    <row r="21" spans="1:8" x14ac:dyDescent="0.25">
      <c r="A21" s="2" t="s">
        <v>182</v>
      </c>
      <c r="B21" s="5">
        <v>120</v>
      </c>
      <c r="C21" s="5">
        <f>B21*0.4/100</f>
        <v>0.48</v>
      </c>
      <c r="D21" s="5">
        <f>B21*0.4/100</f>
        <v>0.48</v>
      </c>
      <c r="E21" s="5">
        <f>B21*9.8/100</f>
        <v>11.76</v>
      </c>
      <c r="F21" s="5">
        <f>B21*45/100</f>
        <v>54</v>
      </c>
      <c r="G21" s="5">
        <v>120</v>
      </c>
      <c r="H21" s="1"/>
    </row>
    <row r="22" spans="1:8" x14ac:dyDescent="0.25">
      <c r="A22" s="1"/>
      <c r="B22" s="7"/>
      <c r="C22" s="7"/>
      <c r="D22" s="7"/>
      <c r="E22" s="7"/>
      <c r="F22" s="7"/>
      <c r="G22" s="7"/>
      <c r="H22" s="1"/>
    </row>
    <row r="23" spans="1:8" x14ac:dyDescent="0.25">
      <c r="A23" s="2" t="s">
        <v>33</v>
      </c>
      <c r="B23" s="7"/>
      <c r="C23" s="7"/>
      <c r="D23" s="7"/>
      <c r="E23" s="7"/>
      <c r="F23" s="7"/>
      <c r="G23" s="7"/>
      <c r="H23" s="1"/>
    </row>
    <row r="24" spans="1:8" x14ac:dyDescent="0.25">
      <c r="A24" s="1" t="s">
        <v>25</v>
      </c>
      <c r="B24" s="7"/>
      <c r="C24" s="7">
        <f t="shared" si="1"/>
        <v>0</v>
      </c>
      <c r="D24" s="7">
        <f t="shared" si="2"/>
        <v>0</v>
      </c>
      <c r="E24" s="7">
        <f t="shared" si="3"/>
        <v>0</v>
      </c>
      <c r="F24" s="7">
        <f t="shared" si="4"/>
        <v>0</v>
      </c>
      <c r="G24" s="7"/>
      <c r="H24" s="1"/>
    </row>
    <row r="25" spans="1:8" ht="18.75" customHeight="1" x14ac:dyDescent="0.25">
      <c r="A25" s="1" t="s">
        <v>15</v>
      </c>
      <c r="B25" s="8">
        <v>40</v>
      </c>
      <c r="C25" s="7">
        <f>B25*2/100</f>
        <v>0.8</v>
      </c>
      <c r="D25" s="7">
        <f>B25*0.4/100</f>
        <v>0.16</v>
      </c>
      <c r="E25" s="7">
        <f>B25*17.3/100</f>
        <v>6.92</v>
      </c>
      <c r="F25" s="7">
        <f>B25*80/100</f>
        <v>32</v>
      </c>
      <c r="G25" s="7"/>
      <c r="H25" s="1"/>
    </row>
    <row r="26" spans="1:8" x14ac:dyDescent="0.25">
      <c r="A26" s="1" t="s">
        <v>20</v>
      </c>
      <c r="B26" s="8">
        <v>11</v>
      </c>
      <c r="C26" s="7">
        <f>B26*1.4/100</f>
        <v>0.154</v>
      </c>
      <c r="D26" s="7">
        <f>B26*0/100</f>
        <v>0</v>
      </c>
      <c r="E26" s="7">
        <f>B26*9.1/100</f>
        <v>1.0009999999999999</v>
      </c>
      <c r="F26" s="7">
        <f>B26*41/100</f>
        <v>4.51</v>
      </c>
      <c r="G26" s="7"/>
      <c r="H26" s="1"/>
    </row>
    <row r="27" spans="1:8" x14ac:dyDescent="0.25">
      <c r="A27" s="1" t="s">
        <v>16</v>
      </c>
      <c r="B27" s="8">
        <v>11</v>
      </c>
      <c r="C27" s="7">
        <f>B27*1.3/100</f>
        <v>0.14300000000000002</v>
      </c>
      <c r="D27" s="7">
        <f>B27*0.1/100</f>
        <v>1.1000000000000001E-2</v>
      </c>
      <c r="E27" s="7">
        <f>B27*8.4/100</f>
        <v>0.92400000000000004</v>
      </c>
      <c r="F27" s="7">
        <f>B27*34/100</f>
        <v>3.74</v>
      </c>
      <c r="G27" s="7"/>
      <c r="H27" s="1"/>
    </row>
    <row r="28" spans="1:8" x14ac:dyDescent="0.25">
      <c r="A28" s="1" t="s">
        <v>8</v>
      </c>
      <c r="B28" s="8">
        <v>2</v>
      </c>
      <c r="C28" s="7">
        <f>B28*0.7/100</f>
        <v>1.3999999999999999E-2</v>
      </c>
      <c r="D28" s="7">
        <f>B28*372.5/100</f>
        <v>7.45</v>
      </c>
      <c r="E28" s="7">
        <f>B28*1/100</f>
        <v>0.02</v>
      </c>
      <c r="F28" s="7">
        <f>B28*709/100</f>
        <v>14.18</v>
      </c>
      <c r="G28" s="7"/>
      <c r="H28" s="1"/>
    </row>
    <row r="29" spans="1:8" x14ac:dyDescent="0.25">
      <c r="A29" s="1" t="s">
        <v>17</v>
      </c>
      <c r="B29" s="8">
        <v>9</v>
      </c>
      <c r="C29" s="7">
        <f>B29*10.7/100</f>
        <v>0.96299999999999997</v>
      </c>
      <c r="D29" s="7">
        <f>B29*1.3/100</f>
        <v>0.11700000000000001</v>
      </c>
      <c r="E29" s="7">
        <f>B29*68.4/100</f>
        <v>6.1560000000000006</v>
      </c>
      <c r="F29" s="7">
        <f>B29*335/100</f>
        <v>30.15</v>
      </c>
      <c r="G29" s="7"/>
      <c r="H29" s="1"/>
    </row>
    <row r="30" spans="1:8" x14ac:dyDescent="0.25">
      <c r="A30" s="1" t="s">
        <v>18</v>
      </c>
      <c r="B30" s="7"/>
      <c r="C30" s="7">
        <f t="shared" si="1"/>
        <v>0</v>
      </c>
      <c r="D30" s="7">
        <f t="shared" si="2"/>
        <v>0</v>
      </c>
      <c r="E30" s="7">
        <f t="shared" si="3"/>
        <v>0</v>
      </c>
      <c r="F30" s="7">
        <f t="shared" si="4"/>
        <v>0</v>
      </c>
      <c r="G30" s="5">
        <v>200</v>
      </c>
      <c r="H30" s="1"/>
    </row>
    <row r="31" spans="1:8" x14ac:dyDescent="0.25">
      <c r="A31" s="2" t="s">
        <v>14</v>
      </c>
      <c r="B31" s="5"/>
      <c r="C31" s="5">
        <f>C25+C26+C27+C28+C29</f>
        <v>2.0739999999999998</v>
      </c>
      <c r="D31" s="5">
        <f>D25+D27+D28+D29+D30</f>
        <v>7.7380000000000004</v>
      </c>
      <c r="E31" s="5">
        <f>E25+E26+E27+E28+E29+E30</f>
        <v>15.020999999999999</v>
      </c>
      <c r="F31" s="5">
        <f>F25+F26+F27+F28+F29+F30</f>
        <v>84.58</v>
      </c>
      <c r="G31" s="7"/>
      <c r="H31" s="1"/>
    </row>
    <row r="32" spans="1:8" x14ac:dyDescent="0.25">
      <c r="A32" s="1" t="s">
        <v>24</v>
      </c>
      <c r="B32" s="7"/>
      <c r="C32" s="7"/>
      <c r="D32" s="7"/>
      <c r="E32" s="7"/>
      <c r="F32" s="7"/>
      <c r="G32" s="7"/>
      <c r="H32" s="1"/>
    </row>
    <row r="33" spans="1:8" x14ac:dyDescent="0.25">
      <c r="A33" s="1" t="s">
        <v>19</v>
      </c>
      <c r="B33" s="8">
        <v>100</v>
      </c>
      <c r="C33" s="7">
        <f>B33*18.2/100</f>
        <v>18.2</v>
      </c>
      <c r="D33" s="7">
        <f>B33*18.4/100</f>
        <v>18.399999999999999</v>
      </c>
      <c r="E33" s="7">
        <f>B33*0.7/100</f>
        <v>0.7</v>
      </c>
      <c r="F33" s="7">
        <f>B33*241/100</f>
        <v>241</v>
      </c>
      <c r="G33" s="7"/>
      <c r="H33" s="1"/>
    </row>
    <row r="34" spans="1:8" x14ac:dyDescent="0.25">
      <c r="A34" s="1" t="s">
        <v>20</v>
      </c>
      <c r="B34" s="8">
        <v>11</v>
      </c>
      <c r="C34" s="7">
        <f>B34*1.4/100</f>
        <v>0.154</v>
      </c>
      <c r="D34" s="7">
        <f>B34*0/100</f>
        <v>0</v>
      </c>
      <c r="E34" s="7">
        <f>B34*9.1/100</f>
        <v>1.0009999999999999</v>
      </c>
      <c r="F34" s="7">
        <f>B34*41/100</f>
        <v>4.51</v>
      </c>
      <c r="G34" s="7"/>
      <c r="H34" s="1"/>
    </row>
    <row r="35" spans="1:8" x14ac:dyDescent="0.25">
      <c r="A35" s="1" t="s">
        <v>21</v>
      </c>
      <c r="B35" s="8">
        <v>6</v>
      </c>
      <c r="C35" s="7">
        <f>B35*12.7/40</f>
        <v>1.9049999999999998</v>
      </c>
      <c r="D35" s="7">
        <f>B35*11.5/40</f>
        <v>1.7250000000000001</v>
      </c>
      <c r="E35" s="7">
        <f>B35*0.7/40</f>
        <v>0.10499999999999998</v>
      </c>
      <c r="F35" s="7">
        <f>B35*157/40</f>
        <v>23.55</v>
      </c>
      <c r="G35" s="7"/>
      <c r="H35" s="1"/>
    </row>
    <row r="36" spans="1:8" x14ac:dyDescent="0.25">
      <c r="A36" s="1" t="s">
        <v>12</v>
      </c>
      <c r="B36" s="7">
        <v>8</v>
      </c>
      <c r="C36" s="7">
        <f>B36*7.7/100</f>
        <v>0.61599999999999999</v>
      </c>
      <c r="D36" s="7">
        <f>B36*3/100</f>
        <v>0.24</v>
      </c>
      <c r="E36" s="7">
        <f>B36*49.8/100</f>
        <v>3.984</v>
      </c>
      <c r="F36" s="7">
        <f>B36*262/100</f>
        <v>20.96</v>
      </c>
      <c r="G36" s="7"/>
      <c r="H36" s="1"/>
    </row>
    <row r="37" spans="1:8" x14ac:dyDescent="0.25">
      <c r="A37" s="2" t="s">
        <v>14</v>
      </c>
      <c r="B37" s="5"/>
      <c r="C37" s="5">
        <f>C33+C34+C35+C36</f>
        <v>20.875</v>
      </c>
      <c r="D37" s="5">
        <f>D33+D34+D35+D36</f>
        <v>20.364999999999998</v>
      </c>
      <c r="E37" s="5">
        <f>E33+E34+E35+E36</f>
        <v>5.79</v>
      </c>
      <c r="F37" s="5">
        <f>F33+F34+F35+F36</f>
        <v>290.02</v>
      </c>
      <c r="G37" s="5">
        <v>70</v>
      </c>
      <c r="H37" s="1"/>
    </row>
    <row r="38" spans="1:8" x14ac:dyDescent="0.25">
      <c r="A38" s="1" t="s">
        <v>23</v>
      </c>
      <c r="B38" s="7"/>
      <c r="C38" s="7"/>
      <c r="D38" s="7"/>
      <c r="E38" s="7"/>
      <c r="F38" s="7"/>
      <c r="G38" s="7"/>
      <c r="H38" s="1"/>
    </row>
    <row r="39" spans="1:8" x14ac:dyDescent="0.25">
      <c r="A39" s="1" t="s">
        <v>15</v>
      </c>
      <c r="B39" s="8">
        <v>40</v>
      </c>
      <c r="C39" s="7">
        <f>B39*2/100</f>
        <v>0.8</v>
      </c>
      <c r="D39" s="7">
        <f>B39*0.4/100</f>
        <v>0.16</v>
      </c>
      <c r="E39" s="7">
        <f>B39*17.3/100</f>
        <v>6.92</v>
      </c>
      <c r="F39" s="7">
        <f>B39*80/100</f>
        <v>32</v>
      </c>
      <c r="G39" s="7"/>
      <c r="H39" s="1"/>
    </row>
    <row r="40" spans="1:8" x14ac:dyDescent="0.25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1"/>
    </row>
    <row r="41" spans="1:8" x14ac:dyDescent="0.25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1"/>
    </row>
    <row r="42" spans="1:8" x14ac:dyDescent="0.25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1"/>
    </row>
    <row r="43" spans="1:8" x14ac:dyDescent="0.25">
      <c r="A43" s="1" t="s">
        <v>27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1"/>
    </row>
    <row r="44" spans="1:8" x14ac:dyDescent="0.25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1"/>
    </row>
    <row r="45" spans="1:8" x14ac:dyDescent="0.25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90</v>
      </c>
      <c r="H45" s="1"/>
    </row>
    <row r="46" spans="1:8" x14ac:dyDescent="0.25">
      <c r="A46" s="2" t="s">
        <v>14</v>
      </c>
      <c r="B46" s="5"/>
      <c r="C46" s="5">
        <f>C39+C40+C41+C42+C43+C44+C45</f>
        <v>2.5029999999999997</v>
      </c>
      <c r="D46" s="5">
        <f>D39+D40+D41+D42+D43+D44+D45</f>
        <v>1.823</v>
      </c>
      <c r="E46" s="5">
        <f>E39+E40+E41+E42+E43+E44+E45</f>
        <v>14.203999999999999</v>
      </c>
      <c r="F46" s="5">
        <f>F39+F40+F41+F42+F43+F44+F45</f>
        <v>75.19</v>
      </c>
      <c r="G46" s="7"/>
      <c r="H46" s="1"/>
    </row>
    <row r="47" spans="1:8" x14ac:dyDescent="0.25">
      <c r="A47" s="1" t="s">
        <v>29</v>
      </c>
      <c r="B47" s="7"/>
      <c r="C47" s="7"/>
      <c r="D47" s="7"/>
      <c r="E47" s="7"/>
      <c r="F47" s="7"/>
      <c r="G47" s="7"/>
      <c r="H47" s="1"/>
    </row>
    <row r="48" spans="1:8" x14ac:dyDescent="0.25">
      <c r="A48" s="1" t="s">
        <v>30</v>
      </c>
      <c r="B48" s="8">
        <v>7</v>
      </c>
      <c r="C48" s="7">
        <f>B48*3.4/100</f>
        <v>0.23800000000000002</v>
      </c>
      <c r="D48" s="7">
        <f>B48*0/100</f>
        <v>0</v>
      </c>
      <c r="E48" s="7">
        <f>B48*21.5/100</f>
        <v>1.5049999999999999</v>
      </c>
      <c r="F48" s="7">
        <f>B48*110/100</f>
        <v>7.7</v>
      </c>
      <c r="G48" s="7"/>
      <c r="H48" s="1"/>
    </row>
    <row r="49" spans="1:8" x14ac:dyDescent="0.25">
      <c r="A49" s="1" t="s">
        <v>9</v>
      </c>
      <c r="B49" s="8">
        <v>8</v>
      </c>
      <c r="C49" s="7">
        <f>B49*0/100</f>
        <v>0</v>
      </c>
      <c r="D49" s="7">
        <f>B49*0/100</f>
        <v>0</v>
      </c>
      <c r="E49" s="7">
        <f>B49*99.8/100</f>
        <v>7.984</v>
      </c>
      <c r="F49" s="7">
        <f>B49*379/100</f>
        <v>30.32</v>
      </c>
      <c r="G49" s="7"/>
      <c r="H49" s="1"/>
    </row>
    <row r="50" spans="1:8" x14ac:dyDescent="0.25">
      <c r="A50" s="2" t="s">
        <v>14</v>
      </c>
      <c r="B50" s="5"/>
      <c r="C50" s="5">
        <f>C48+C49</f>
        <v>0.23800000000000002</v>
      </c>
      <c r="D50" s="5">
        <f t="shared" si="2"/>
        <v>0</v>
      </c>
      <c r="E50" s="5">
        <f>E48+E49</f>
        <v>9.4890000000000008</v>
      </c>
      <c r="F50" s="5">
        <f>F48+F49</f>
        <v>38.020000000000003</v>
      </c>
      <c r="G50" s="5">
        <v>200</v>
      </c>
      <c r="H50" s="1"/>
    </row>
    <row r="51" spans="1:8" x14ac:dyDescent="0.25">
      <c r="A51" s="1" t="s">
        <v>31</v>
      </c>
      <c r="B51" s="8">
        <v>27</v>
      </c>
      <c r="C51" s="7">
        <f>B51*7.7/100</f>
        <v>2.0790000000000002</v>
      </c>
      <c r="D51" s="7">
        <f>B51*3/100</f>
        <v>0.81</v>
      </c>
      <c r="E51" s="7">
        <f>B51*49.8/100</f>
        <v>13.446</v>
      </c>
      <c r="F51" s="7">
        <f>B51*262/100</f>
        <v>70.739999999999995</v>
      </c>
      <c r="G51" s="5">
        <v>35</v>
      </c>
      <c r="H51" s="1"/>
    </row>
    <row r="52" spans="1:8" x14ac:dyDescent="0.25">
      <c r="A52" s="1" t="s">
        <v>32</v>
      </c>
      <c r="B52" s="8">
        <v>40</v>
      </c>
      <c r="C52" s="7">
        <f>B52*6.6/100</f>
        <v>2.64</v>
      </c>
      <c r="D52" s="7">
        <f>B52*1.2/100</f>
        <v>0.48</v>
      </c>
      <c r="E52" s="7">
        <f>B52*34.2/100</f>
        <v>13.68</v>
      </c>
      <c r="F52" s="7">
        <f>B52*181/100</f>
        <v>72.400000000000006</v>
      </c>
      <c r="G52" s="5">
        <v>40</v>
      </c>
      <c r="H52" s="1"/>
    </row>
    <row r="53" spans="1:8" x14ac:dyDescent="0.25">
      <c r="A53" s="2" t="s">
        <v>14</v>
      </c>
      <c r="B53" s="5"/>
      <c r="C53" s="5">
        <f>C51+C52</f>
        <v>4.7190000000000003</v>
      </c>
      <c r="D53" s="5">
        <f>D51+D52</f>
        <v>1.29</v>
      </c>
      <c r="E53" s="5">
        <f>E51+E52</f>
        <v>27.125999999999998</v>
      </c>
      <c r="F53" s="5">
        <f>F51+F52</f>
        <v>143.13999999999999</v>
      </c>
      <c r="G53" s="7"/>
      <c r="H53" s="1"/>
    </row>
    <row r="54" spans="1:8" x14ac:dyDescent="0.25">
      <c r="A54" s="2" t="s">
        <v>49</v>
      </c>
      <c r="B54" s="9">
        <v>70</v>
      </c>
      <c r="C54" s="13">
        <f>B54*1.1/100</f>
        <v>0.77</v>
      </c>
      <c r="D54" s="5">
        <f>B54*0.2/100</f>
        <v>0.14000000000000001</v>
      </c>
      <c r="E54" s="5">
        <f>B54*3.8/100</f>
        <v>2.66</v>
      </c>
      <c r="F54" s="5">
        <f>B54*23/100</f>
        <v>16.100000000000001</v>
      </c>
      <c r="G54" s="5">
        <v>65</v>
      </c>
      <c r="H54" s="1"/>
    </row>
    <row r="55" spans="1:8" x14ac:dyDescent="0.25">
      <c r="A55" s="2" t="s">
        <v>76</v>
      </c>
      <c r="B55" s="5"/>
      <c r="C55" s="5">
        <f>C31+C37+C46+C50+C53+C54</f>
        <v>31.178999999999998</v>
      </c>
      <c r="D55" s="5">
        <f>D31+D37+D46+D53+D54</f>
        <v>31.355999999999998</v>
      </c>
      <c r="E55" s="5">
        <f>E31+E37+E46+E50+E53+E54</f>
        <v>74.289999999999992</v>
      </c>
      <c r="F55" s="5">
        <f>F31+F37+F46+F50+F53+F54</f>
        <v>647.04999999999995</v>
      </c>
      <c r="G55" s="7">
        <v>700</v>
      </c>
      <c r="H55" s="1"/>
    </row>
    <row r="56" spans="1:8" x14ac:dyDescent="0.25">
      <c r="A56" s="1"/>
      <c r="B56" s="7"/>
      <c r="C56" s="18"/>
      <c r="D56" s="7"/>
      <c r="E56" s="7"/>
      <c r="F56" s="7"/>
      <c r="G56" s="5"/>
      <c r="H56" s="1"/>
    </row>
    <row r="57" spans="1:8" ht="15.75" x14ac:dyDescent="0.25">
      <c r="A57" s="14" t="s">
        <v>185</v>
      </c>
      <c r="B57" s="16"/>
      <c r="C57" s="16">
        <f>C19+C21+C55</f>
        <v>43.295999999999992</v>
      </c>
      <c r="D57" s="16">
        <f>D19+D21+D55</f>
        <v>48.525999999999996</v>
      </c>
      <c r="E57" s="16">
        <v>167.464</v>
      </c>
      <c r="F57" s="16">
        <f>F19+F21+F55</f>
        <v>1114.46</v>
      </c>
      <c r="G57" s="5"/>
      <c r="H57" s="1"/>
    </row>
    <row r="58" spans="1:8" x14ac:dyDescent="0.25">
      <c r="A58" s="1"/>
      <c r="B58" s="7"/>
      <c r="C58" s="7"/>
      <c r="D58" s="7"/>
      <c r="E58" s="7"/>
      <c r="F58" s="7"/>
      <c r="G58" s="7"/>
      <c r="H58" s="1"/>
    </row>
    <row r="59" spans="1:8" x14ac:dyDescent="0.25">
      <c r="A59" s="1"/>
      <c r="B59" s="7"/>
      <c r="C59" s="7"/>
      <c r="D59" s="7"/>
      <c r="E59" s="7"/>
      <c r="F59" s="7"/>
      <c r="G59" s="7"/>
      <c r="H59" s="1"/>
    </row>
    <row r="60" spans="1:8" x14ac:dyDescent="0.25">
      <c r="A60" s="2" t="s">
        <v>36</v>
      </c>
      <c r="B60" s="7"/>
      <c r="C60" s="7"/>
      <c r="D60" s="7"/>
      <c r="E60" s="7"/>
      <c r="F60" s="7"/>
      <c r="G60" s="7"/>
      <c r="H60" s="2" t="s">
        <v>35</v>
      </c>
    </row>
    <row r="61" spans="1:8" x14ac:dyDescent="0.25">
      <c r="A61" s="1" t="s">
        <v>37</v>
      </c>
      <c r="B61" s="7"/>
      <c r="C61" s="7"/>
      <c r="D61" s="7"/>
      <c r="E61" s="7"/>
      <c r="F61" s="7"/>
      <c r="G61" s="7"/>
      <c r="H61" s="1"/>
    </row>
    <row r="62" spans="1:8" x14ac:dyDescent="0.25">
      <c r="A62" s="1" t="s">
        <v>38</v>
      </c>
      <c r="B62" s="8">
        <v>25</v>
      </c>
      <c r="C62" s="7">
        <f>B62*11/100</f>
        <v>2.75</v>
      </c>
      <c r="D62" s="7">
        <f>B62*6.2/100</f>
        <v>1.55</v>
      </c>
      <c r="E62" s="7">
        <f>B62*50.1/100</f>
        <v>12.525</v>
      </c>
      <c r="F62" s="7">
        <f>B62*305/100</f>
        <v>76.25</v>
      </c>
      <c r="G62" s="7"/>
      <c r="H62" s="1"/>
    </row>
    <row r="63" spans="1:8" x14ac:dyDescent="0.25">
      <c r="A63" s="1" t="s">
        <v>7</v>
      </c>
      <c r="B63" s="8">
        <v>100</v>
      </c>
      <c r="C63" s="7">
        <f>B63*2.8/100</f>
        <v>2.8</v>
      </c>
      <c r="D63" s="7">
        <f>B63*3.5/100</f>
        <v>3.5</v>
      </c>
      <c r="E63" s="7">
        <f>B63*4.7/100</f>
        <v>4.7</v>
      </c>
      <c r="F63" s="7">
        <f>B63*61/100</f>
        <v>61</v>
      </c>
      <c r="G63" s="7"/>
      <c r="H63" s="1"/>
    </row>
    <row r="64" spans="1:8" x14ac:dyDescent="0.25">
      <c r="A64" s="1" t="s">
        <v>8</v>
      </c>
      <c r="B64" s="8">
        <v>3</v>
      </c>
      <c r="C64" s="7">
        <f>B64*0.7/100</f>
        <v>2.0999999999999998E-2</v>
      </c>
      <c r="D64" s="7">
        <f>B64*72.5/100</f>
        <v>2.1749999999999998</v>
      </c>
      <c r="E64" s="7">
        <f>B64*1/100</f>
        <v>0.03</v>
      </c>
      <c r="F64" s="7">
        <f>B64*709/100</f>
        <v>21.27</v>
      </c>
      <c r="G64" s="7"/>
      <c r="H64" s="1"/>
    </row>
    <row r="65" spans="1:8" x14ac:dyDescent="0.25">
      <c r="A65" s="1" t="s">
        <v>9</v>
      </c>
      <c r="B65" s="8">
        <v>5</v>
      </c>
      <c r="C65" s="7">
        <f>B65*0/100</f>
        <v>0</v>
      </c>
      <c r="D65" s="7">
        <f>B65*0/100</f>
        <v>0</v>
      </c>
      <c r="E65" s="7">
        <f>B65*99.8/100</f>
        <v>4.99</v>
      </c>
      <c r="F65" s="7">
        <f>B65*379/100</f>
        <v>18.95</v>
      </c>
      <c r="G65" s="7"/>
      <c r="H65" s="1"/>
    </row>
    <row r="66" spans="1:8" x14ac:dyDescent="0.25">
      <c r="A66" s="2" t="s">
        <v>14</v>
      </c>
      <c r="B66" s="5"/>
      <c r="C66" s="5">
        <f>C62+C63+C64</f>
        <v>5.5709999999999997</v>
      </c>
      <c r="D66" s="5">
        <f>D62+D63+D64+D65</f>
        <v>7.2249999999999996</v>
      </c>
      <c r="E66" s="5">
        <f>E62+E63+E64+E65</f>
        <v>22.245000000000005</v>
      </c>
      <c r="F66" s="5">
        <f>F62+F63+F64+F65</f>
        <v>177.47</v>
      </c>
      <c r="G66" s="5">
        <v>200</v>
      </c>
      <c r="H66" s="1"/>
    </row>
    <row r="67" spans="1:8" x14ac:dyDescent="0.25">
      <c r="A67" s="1" t="s">
        <v>77</v>
      </c>
      <c r="B67" s="7"/>
      <c r="C67" s="7">
        <f t="shared" si="1"/>
        <v>0</v>
      </c>
      <c r="D67" s="7">
        <f t="shared" si="2"/>
        <v>0</v>
      </c>
      <c r="E67" s="7">
        <f t="shared" ref="E67:E106" si="5">B67*1/100</f>
        <v>0</v>
      </c>
      <c r="F67" s="7">
        <f t="shared" ref="F67:F106" si="6">B67*379/100</f>
        <v>0</v>
      </c>
      <c r="G67" s="7"/>
      <c r="H67" s="1"/>
    </row>
    <row r="68" spans="1:8" x14ac:dyDescent="0.25">
      <c r="A68" s="1" t="s">
        <v>39</v>
      </c>
      <c r="B68" s="8">
        <v>1</v>
      </c>
      <c r="C68" s="7">
        <f>B68*24.2/100</f>
        <v>0.24199999999999999</v>
      </c>
      <c r="D68" s="7">
        <f>B68*17.5/100</f>
        <v>0.17499999999999999</v>
      </c>
      <c r="E68" s="7">
        <f>B68*27.9/100</f>
        <v>0.27899999999999997</v>
      </c>
      <c r="F68" s="7">
        <f>B68*373/100</f>
        <v>3.73</v>
      </c>
      <c r="G68" s="7"/>
      <c r="H68" s="1"/>
    </row>
    <row r="69" spans="1:8" x14ac:dyDescent="0.25">
      <c r="A69" s="1" t="s">
        <v>7</v>
      </c>
      <c r="B69" s="8">
        <v>100</v>
      </c>
      <c r="C69" s="7">
        <f>B69*2.8/100</f>
        <v>2.8</v>
      </c>
      <c r="D69" s="7">
        <f>B69*3.5/100</f>
        <v>3.5</v>
      </c>
      <c r="E69" s="7">
        <f>B69*4.7/100</f>
        <v>4.7</v>
      </c>
      <c r="F69" s="7">
        <f>B69*61/100</f>
        <v>61</v>
      </c>
      <c r="G69" s="7"/>
      <c r="H69" s="1"/>
    </row>
    <row r="70" spans="1:8" x14ac:dyDescent="0.25">
      <c r="A70" s="1" t="s">
        <v>9</v>
      </c>
      <c r="B70" s="8">
        <v>8</v>
      </c>
      <c r="C70" s="7">
        <f>B70*0/100</f>
        <v>0</v>
      </c>
      <c r="D70" s="7">
        <f>B70*0/100</f>
        <v>0</v>
      </c>
      <c r="E70" s="7">
        <f>B70*199.8/100</f>
        <v>15.984000000000002</v>
      </c>
      <c r="F70" s="7">
        <f>B70*379/100</f>
        <v>30.32</v>
      </c>
      <c r="G70" s="5"/>
      <c r="H70" s="1"/>
    </row>
    <row r="71" spans="1:8" x14ac:dyDescent="0.25">
      <c r="A71" s="2" t="s">
        <v>14</v>
      </c>
      <c r="B71" s="5"/>
      <c r="C71" s="5">
        <f>C67+C68+C69</f>
        <v>3.0419999999999998</v>
      </c>
      <c r="D71" s="5">
        <f>D68+D69+D70</f>
        <v>3.6749999999999998</v>
      </c>
      <c r="E71" s="5">
        <f>E68+E69+E70</f>
        <v>20.963000000000001</v>
      </c>
      <c r="F71" s="5">
        <f>F68+F69+F70</f>
        <v>95.050000000000011</v>
      </c>
      <c r="G71" s="5">
        <v>200</v>
      </c>
      <c r="H71" s="1"/>
    </row>
    <row r="72" spans="1:8" x14ac:dyDescent="0.25">
      <c r="A72" s="1" t="s">
        <v>40</v>
      </c>
      <c r="B72" s="8">
        <v>40</v>
      </c>
      <c r="C72" s="7">
        <f>B72*7.6/100</f>
        <v>3.04</v>
      </c>
      <c r="D72" s="7">
        <f>B72*3/100</f>
        <v>1.2</v>
      </c>
      <c r="E72" s="7">
        <f>B72*49.8/100</f>
        <v>19.920000000000002</v>
      </c>
      <c r="F72" s="7">
        <f>B72*262/100</f>
        <v>104.8</v>
      </c>
      <c r="G72" s="5">
        <v>40</v>
      </c>
      <c r="H72" s="1"/>
    </row>
    <row r="73" spans="1:8" x14ac:dyDescent="0.25">
      <c r="A73" s="1"/>
      <c r="B73" s="7"/>
      <c r="C73" s="7"/>
      <c r="D73" s="7"/>
      <c r="E73" s="7"/>
      <c r="F73" s="7"/>
      <c r="G73" s="5"/>
      <c r="H73" s="1"/>
    </row>
    <row r="74" spans="1:8" x14ac:dyDescent="0.25">
      <c r="A74" s="1" t="s">
        <v>8</v>
      </c>
      <c r="B74" s="8">
        <v>8</v>
      </c>
      <c r="C74" s="7">
        <f>B74*0.7/100</f>
        <v>5.5999999999999994E-2</v>
      </c>
      <c r="D74" s="7">
        <f>B74*72.5/100</f>
        <v>5.8</v>
      </c>
      <c r="E74" s="7">
        <f>B74*1/100</f>
        <v>0.08</v>
      </c>
      <c r="F74" s="7">
        <f>B74*709/100</f>
        <v>56.72</v>
      </c>
      <c r="G74" s="5">
        <v>8</v>
      </c>
      <c r="H74" s="1"/>
    </row>
    <row r="75" spans="1:8" x14ac:dyDescent="0.25">
      <c r="A75" s="1"/>
      <c r="B75" s="7"/>
      <c r="C75" s="7">
        <f t="shared" ref="C75" si="7">B75*12.6/100</f>
        <v>0</v>
      </c>
      <c r="D75" s="7">
        <f t="shared" ref="D75:D106" si="8">B75*3.3/100</f>
        <v>0</v>
      </c>
      <c r="E75" s="7">
        <f t="shared" si="5"/>
        <v>0</v>
      </c>
      <c r="F75" s="7">
        <f t="shared" si="6"/>
        <v>0</v>
      </c>
      <c r="G75" s="5"/>
      <c r="H75" s="1"/>
    </row>
    <row r="76" spans="1:8" x14ac:dyDescent="0.25">
      <c r="A76" s="1" t="s">
        <v>21</v>
      </c>
      <c r="B76" s="8">
        <v>40</v>
      </c>
      <c r="C76" s="7">
        <f>B76*12.7/1000</f>
        <v>0.50800000000000001</v>
      </c>
      <c r="D76" s="7">
        <f>B76*11.5/100</f>
        <v>4.5999999999999996</v>
      </c>
      <c r="E76" s="7">
        <f>B76*0.7/100</f>
        <v>0.28000000000000003</v>
      </c>
      <c r="F76" s="7">
        <f>B76*157/100</f>
        <v>62.8</v>
      </c>
      <c r="G76" s="5">
        <v>35</v>
      </c>
      <c r="H76" s="1"/>
    </row>
    <row r="77" spans="1:8" x14ac:dyDescent="0.25">
      <c r="A77" s="2" t="s">
        <v>75</v>
      </c>
      <c r="B77" s="5"/>
      <c r="C77" s="5">
        <f>C72+C73+C74+C75+C76</f>
        <v>3.6040000000000001</v>
      </c>
      <c r="D77" s="5">
        <f>D72+D73+D74+D76</f>
        <v>11.6</v>
      </c>
      <c r="E77" s="5">
        <f>E72+E73+E74+E76</f>
        <v>20.28</v>
      </c>
      <c r="F77" s="5">
        <f>F72+F73+F74+F76</f>
        <v>224.32</v>
      </c>
      <c r="G77" s="5">
        <v>483</v>
      </c>
      <c r="H77" s="1"/>
    </row>
    <row r="78" spans="1:8" x14ac:dyDescent="0.25">
      <c r="A78" s="2" t="s">
        <v>183</v>
      </c>
      <c r="B78" s="5">
        <v>200</v>
      </c>
      <c r="C78" s="5">
        <f>B78*0.5/100</f>
        <v>1</v>
      </c>
      <c r="D78" s="5">
        <f>B78*0/100</f>
        <v>0</v>
      </c>
      <c r="E78" s="5">
        <f>B78*9.1/100</f>
        <v>18.2</v>
      </c>
      <c r="F78" s="5">
        <f>B78*38/100</f>
        <v>76</v>
      </c>
      <c r="G78" s="5">
        <v>200</v>
      </c>
      <c r="H78" s="1"/>
    </row>
    <row r="79" spans="1:8" x14ac:dyDescent="0.25">
      <c r="A79" s="1" t="s">
        <v>33</v>
      </c>
      <c r="B79" s="7"/>
      <c r="C79" s="7"/>
      <c r="D79" s="7"/>
      <c r="E79" s="7"/>
      <c r="F79" s="7"/>
      <c r="G79" s="7"/>
      <c r="H79" s="1"/>
    </row>
    <row r="80" spans="1:8" x14ac:dyDescent="0.25">
      <c r="A80" s="1" t="s">
        <v>43</v>
      </c>
      <c r="B80" s="7"/>
      <c r="C80" s="7"/>
      <c r="D80" s="7"/>
      <c r="E80" s="7"/>
      <c r="F80" s="7"/>
      <c r="G80" s="7"/>
      <c r="H80" s="1"/>
    </row>
    <row r="81" spans="1:8" x14ac:dyDescent="0.25">
      <c r="A81" s="1" t="s">
        <v>41</v>
      </c>
      <c r="B81" s="8">
        <v>20</v>
      </c>
      <c r="C81" s="7">
        <f>B81*18.6/100</f>
        <v>3.72</v>
      </c>
      <c r="D81" s="7">
        <f>B81*16/100</f>
        <v>3.2</v>
      </c>
      <c r="E81" s="7">
        <f>B81*0/100</f>
        <v>0</v>
      </c>
      <c r="F81" s="7">
        <f>B81*218/100</f>
        <v>43.6</v>
      </c>
      <c r="G81" s="7"/>
      <c r="H81" s="1"/>
    </row>
    <row r="82" spans="1:8" x14ac:dyDescent="0.25">
      <c r="A82" s="1" t="s">
        <v>15</v>
      </c>
      <c r="B82" s="8">
        <v>40</v>
      </c>
      <c r="C82" s="7">
        <f>B82*2/100</f>
        <v>0.8</v>
      </c>
      <c r="D82" s="7">
        <f>B82*0.4/100</f>
        <v>0.16</v>
      </c>
      <c r="E82" s="7">
        <f>B82*17.3/100</f>
        <v>6.92</v>
      </c>
      <c r="F82" s="7">
        <f>B82*80/100</f>
        <v>32</v>
      </c>
      <c r="G82" s="7"/>
      <c r="H82" s="1"/>
    </row>
    <row r="83" spans="1:8" x14ac:dyDescent="0.25">
      <c r="A83" s="1" t="s">
        <v>26</v>
      </c>
      <c r="B83" s="8">
        <v>25</v>
      </c>
      <c r="C83" s="7">
        <f>B83*1.8/100</f>
        <v>0.45</v>
      </c>
      <c r="D83" s="7">
        <f>B83*0.1/100</f>
        <v>2.5000000000000001E-2</v>
      </c>
      <c r="E83" s="7">
        <f>B83*4.7/100</f>
        <v>1.175</v>
      </c>
      <c r="F83" s="7">
        <f>B83*27/100</f>
        <v>6.75</v>
      </c>
      <c r="G83" s="7"/>
      <c r="H83" s="1"/>
    </row>
    <row r="84" spans="1:8" x14ac:dyDescent="0.25">
      <c r="A84" s="1" t="s">
        <v>42</v>
      </c>
      <c r="B84" s="8">
        <v>12</v>
      </c>
      <c r="C84" s="7">
        <f>B84*1.5/100</f>
        <v>0.18</v>
      </c>
      <c r="D84" s="7">
        <f>B84*0.1/100</f>
        <v>1.2000000000000002E-2</v>
      </c>
      <c r="E84" s="7">
        <f>B84*10/100</f>
        <v>1.2</v>
      </c>
      <c r="F84" s="7">
        <f>B84*42/100</f>
        <v>5.04</v>
      </c>
      <c r="G84" s="7"/>
      <c r="H84" s="1"/>
    </row>
    <row r="85" spans="1:8" x14ac:dyDescent="0.25">
      <c r="A85" s="1" t="s">
        <v>20</v>
      </c>
      <c r="B85" s="8">
        <v>11</v>
      </c>
      <c r="C85" s="7">
        <f>B85*1.4/100</f>
        <v>0.154</v>
      </c>
      <c r="D85" s="7">
        <f>B85*0/100</f>
        <v>0</v>
      </c>
      <c r="E85" s="7">
        <f>B85*9.1/100</f>
        <v>1.0009999999999999</v>
      </c>
      <c r="F85" s="7">
        <f>B85*41/100</f>
        <v>4.51</v>
      </c>
      <c r="G85" s="7"/>
      <c r="H85" s="1"/>
    </row>
    <row r="86" spans="1:8" x14ac:dyDescent="0.25">
      <c r="A86" s="1" t="s">
        <v>16</v>
      </c>
      <c r="B86" s="8">
        <v>11</v>
      </c>
      <c r="C86" s="7">
        <f>B86*1.3/100</f>
        <v>0.14300000000000002</v>
      </c>
      <c r="D86" s="7">
        <f>B86*0.1/100</f>
        <v>1.1000000000000001E-2</v>
      </c>
      <c r="E86" s="7">
        <f>B86*8.4/100</f>
        <v>0.92400000000000004</v>
      </c>
      <c r="F86" s="7">
        <f>B86*34/100</f>
        <v>3.74</v>
      </c>
      <c r="G86" s="7"/>
      <c r="H86" s="1"/>
    </row>
    <row r="87" spans="1:8" x14ac:dyDescent="0.25">
      <c r="A87" s="1" t="s">
        <v>28</v>
      </c>
      <c r="B87" s="8">
        <v>2</v>
      </c>
      <c r="C87" s="7">
        <f>B87*4.8/100</f>
        <v>9.6000000000000002E-2</v>
      </c>
      <c r="D87" s="7">
        <f>B87*0/100</f>
        <v>0</v>
      </c>
      <c r="E87" s="7">
        <f>B87*19/100</f>
        <v>0.38</v>
      </c>
      <c r="F87" s="7">
        <f>B87*99/100</f>
        <v>1.98</v>
      </c>
      <c r="G87" s="7"/>
      <c r="H87" s="1"/>
    </row>
    <row r="88" spans="1:8" x14ac:dyDescent="0.25">
      <c r="A88" s="1" t="s">
        <v>8</v>
      </c>
      <c r="B88" s="8">
        <v>2</v>
      </c>
      <c r="C88" s="7">
        <f>B88*0.7/100</f>
        <v>1.3999999999999999E-2</v>
      </c>
      <c r="D88" s="7">
        <f>B88*72.5/100</f>
        <v>1.45</v>
      </c>
      <c r="E88" s="7">
        <f>B88*1/100</f>
        <v>0.02</v>
      </c>
      <c r="F88" s="7">
        <f>B88*709/100</f>
        <v>14.18</v>
      </c>
      <c r="G88" s="5"/>
      <c r="H88" s="1"/>
    </row>
    <row r="89" spans="1:8" x14ac:dyDescent="0.25">
      <c r="A89" s="1" t="s">
        <v>44</v>
      </c>
      <c r="B89" s="8">
        <v>5</v>
      </c>
      <c r="C89" s="7">
        <f>B89*2.8/100</f>
        <v>0.14000000000000001</v>
      </c>
      <c r="D89" s="7">
        <f>B89*20/100</f>
        <v>1</v>
      </c>
      <c r="E89" s="7">
        <f>B89*3.2/100</f>
        <v>0.16</v>
      </c>
      <c r="F89" s="7">
        <f>B89*206/100</f>
        <v>10.3</v>
      </c>
      <c r="G89" s="5"/>
      <c r="H89" s="1"/>
    </row>
    <row r="90" spans="1:8" x14ac:dyDescent="0.25">
      <c r="A90" s="2" t="s">
        <v>14</v>
      </c>
      <c r="B90" s="5"/>
      <c r="C90" s="5">
        <f>C81+C82+C83+C84+C85+C86+C87+C88+C89</f>
        <v>5.6970000000000001</v>
      </c>
      <c r="D90" s="5">
        <f>D81+D82+D83+D84+D85+D86+D87+D88+D89</f>
        <v>5.8580000000000005</v>
      </c>
      <c r="E90" s="5">
        <f>E82+E83+E84+E85+E86+E87+E88+E89</f>
        <v>11.78</v>
      </c>
      <c r="F90" s="5">
        <f>F81+F82+F83+F84+F85+F86+F87+F88+F89</f>
        <v>122.10000000000001</v>
      </c>
      <c r="G90" s="5" t="s">
        <v>47</v>
      </c>
      <c r="H90" s="1"/>
    </row>
    <row r="91" spans="1:8" x14ac:dyDescent="0.25">
      <c r="A91" s="1" t="s">
        <v>46</v>
      </c>
      <c r="B91" s="7"/>
      <c r="C91" s="7"/>
      <c r="D91" s="7"/>
      <c r="E91" s="7"/>
      <c r="F91" s="7"/>
      <c r="G91" s="5"/>
      <c r="H91" s="1"/>
    </row>
    <row r="92" spans="1:8" x14ac:dyDescent="0.25">
      <c r="A92" s="1" t="s">
        <v>45</v>
      </c>
      <c r="B92" s="8">
        <v>80</v>
      </c>
      <c r="C92" s="7">
        <f>B92*16/100</f>
        <v>12.8</v>
      </c>
      <c r="D92" s="7">
        <f>B92*0.6/100</f>
        <v>0.48</v>
      </c>
      <c r="E92" s="7">
        <f>B92*0/100</f>
        <v>0</v>
      </c>
      <c r="F92" s="7">
        <f>B92*69/100</f>
        <v>55.2</v>
      </c>
      <c r="G92" s="5"/>
      <c r="H92" s="1"/>
    </row>
    <row r="93" spans="1:8" x14ac:dyDescent="0.25">
      <c r="A93" s="1" t="s">
        <v>7</v>
      </c>
      <c r="B93" s="8">
        <v>20</v>
      </c>
      <c r="C93" s="7">
        <f>B93*2.8/100</f>
        <v>0.56000000000000005</v>
      </c>
      <c r="D93" s="7">
        <f>B93*3.5/100</f>
        <v>0.7</v>
      </c>
      <c r="E93" s="7">
        <f>B93*4.7/100</f>
        <v>0.94</v>
      </c>
      <c r="F93" s="7">
        <f>B93*61/100</f>
        <v>12.2</v>
      </c>
      <c r="G93" s="5"/>
      <c r="H93" s="1"/>
    </row>
    <row r="94" spans="1:8" x14ac:dyDescent="0.25">
      <c r="A94" s="1" t="s">
        <v>8</v>
      </c>
      <c r="B94" s="8">
        <v>3</v>
      </c>
      <c r="C94" s="7">
        <f>B94*0.7/100</f>
        <v>2.0999999999999998E-2</v>
      </c>
      <c r="D94" s="7">
        <f>B94*72.5/100</f>
        <v>2.1749999999999998</v>
      </c>
      <c r="E94" s="7">
        <f>B94*1/100</f>
        <v>0.03</v>
      </c>
      <c r="F94" s="7">
        <f>B94*709/100</f>
        <v>21.27</v>
      </c>
      <c r="G94" s="5"/>
      <c r="H94" s="1"/>
    </row>
    <row r="95" spans="1:8" x14ac:dyDescent="0.25">
      <c r="A95" s="1" t="s">
        <v>48</v>
      </c>
      <c r="B95" s="8">
        <v>3</v>
      </c>
      <c r="C95" s="7">
        <f>B95*10.3/100</f>
        <v>0.309</v>
      </c>
      <c r="D95" s="7">
        <f>B95*1.1/100</f>
        <v>3.3000000000000002E-2</v>
      </c>
      <c r="E95" s="7">
        <f>B95*69/100</f>
        <v>2.0699999999999998</v>
      </c>
      <c r="F95" s="7">
        <f>B95*334/100</f>
        <v>10.02</v>
      </c>
      <c r="G95" s="5"/>
      <c r="H95" s="1"/>
    </row>
    <row r="96" spans="1:8" x14ac:dyDescent="0.25">
      <c r="A96" s="2" t="s">
        <v>14</v>
      </c>
      <c r="B96" s="5"/>
      <c r="C96" s="5">
        <f>C92+C93+C94+C95</f>
        <v>13.690000000000001</v>
      </c>
      <c r="D96" s="5">
        <f>D92+D93+D94+D95</f>
        <v>3.3879999999999995</v>
      </c>
      <c r="E96" s="5">
        <f>E93+E94+E95</f>
        <v>3.04</v>
      </c>
      <c r="F96" s="5">
        <f>+F100+F105+F109+F114</f>
        <v>361.322</v>
      </c>
      <c r="G96" s="5">
        <v>60</v>
      </c>
      <c r="H96" s="1"/>
    </row>
    <row r="97" spans="1:8" x14ac:dyDescent="0.25">
      <c r="A97" s="1" t="s">
        <v>50</v>
      </c>
      <c r="B97" s="7"/>
      <c r="C97" s="7"/>
      <c r="D97" s="7"/>
      <c r="E97" s="7"/>
      <c r="F97" s="7"/>
      <c r="G97" s="5"/>
      <c r="H97" s="1"/>
    </row>
    <row r="98" spans="1:8" x14ac:dyDescent="0.25">
      <c r="A98" s="1" t="s">
        <v>15</v>
      </c>
      <c r="B98" s="8">
        <v>100</v>
      </c>
      <c r="C98" s="7">
        <f>B98*2/100</f>
        <v>2</v>
      </c>
      <c r="D98" s="7">
        <f>B98*0.4/100</f>
        <v>0.4</v>
      </c>
      <c r="E98" s="7">
        <f>B98*117.3/100</f>
        <v>117.3</v>
      </c>
      <c r="F98" s="7">
        <f>B98*80/100</f>
        <v>80</v>
      </c>
      <c r="G98" s="5"/>
      <c r="H98" s="1"/>
    </row>
    <row r="99" spans="1:8" x14ac:dyDescent="0.25">
      <c r="A99" s="1" t="s">
        <v>8</v>
      </c>
      <c r="B99" s="8">
        <v>2</v>
      </c>
      <c r="C99" s="7">
        <f>B99*0.7/100</f>
        <v>1.3999999999999999E-2</v>
      </c>
      <c r="D99" s="7">
        <f>B99*72.5/100</f>
        <v>1.45</v>
      </c>
      <c r="E99" s="7">
        <f>B99*1/100</f>
        <v>0.02</v>
      </c>
      <c r="F99" s="7">
        <f>B99*709/100</f>
        <v>14.18</v>
      </c>
      <c r="G99" s="5"/>
      <c r="H99" s="1"/>
    </row>
    <row r="100" spans="1:8" x14ac:dyDescent="0.25">
      <c r="A100" s="2" t="s">
        <v>14</v>
      </c>
      <c r="B100" s="5"/>
      <c r="C100" s="5">
        <f>C98+C99</f>
        <v>2.0139999999999998</v>
      </c>
      <c r="D100" s="5">
        <f>D98+D99</f>
        <v>1.85</v>
      </c>
      <c r="E100" s="5">
        <f>E98+E99</f>
        <v>117.32</v>
      </c>
      <c r="F100" s="5">
        <f>F98+F99</f>
        <v>94.18</v>
      </c>
      <c r="G100" s="5">
        <v>65</v>
      </c>
      <c r="H100" s="1"/>
    </row>
    <row r="101" spans="1:8" x14ac:dyDescent="0.25">
      <c r="A101" s="1" t="s">
        <v>51</v>
      </c>
      <c r="B101" s="7"/>
      <c r="C101" s="7">
        <f t="shared" ref="C101:C106" si="9">B101*0.7/100</f>
        <v>0</v>
      </c>
      <c r="D101" s="7">
        <f t="shared" si="8"/>
        <v>0</v>
      </c>
      <c r="E101" s="7">
        <f t="shared" si="5"/>
        <v>0</v>
      </c>
      <c r="F101" s="7">
        <f t="shared" si="6"/>
        <v>0</v>
      </c>
      <c r="G101" s="7"/>
      <c r="H101" s="1"/>
    </row>
    <row r="102" spans="1:8" x14ac:dyDescent="0.25">
      <c r="A102" s="1" t="s">
        <v>52</v>
      </c>
      <c r="B102" s="8">
        <v>30</v>
      </c>
      <c r="C102" s="7">
        <f>B102*0.8/100</f>
        <v>0.24</v>
      </c>
      <c r="D102" s="7">
        <f>B102*0.4/100</f>
        <v>0.12</v>
      </c>
      <c r="E102" s="7">
        <f>B102*6.3/100</f>
        <v>1.89</v>
      </c>
      <c r="F102" s="7">
        <f>B102*34/100</f>
        <v>10.199999999999999</v>
      </c>
      <c r="G102" s="7"/>
      <c r="H102" s="1"/>
    </row>
    <row r="103" spans="1:8" x14ac:dyDescent="0.25">
      <c r="A103" s="1" t="s">
        <v>9</v>
      </c>
      <c r="B103" s="8">
        <v>9</v>
      </c>
      <c r="C103" s="7">
        <f>B103*0/100</f>
        <v>0</v>
      </c>
      <c r="D103" s="7">
        <f>B103*0/100</f>
        <v>0</v>
      </c>
      <c r="E103" s="7">
        <f>B103*99.8/100</f>
        <v>8.9819999999999993</v>
      </c>
      <c r="F103" s="7">
        <f>B103*379/100</f>
        <v>34.11</v>
      </c>
      <c r="G103" s="7"/>
      <c r="H103" s="1"/>
    </row>
    <row r="104" spans="1:8" x14ac:dyDescent="0.25">
      <c r="A104" s="1" t="s">
        <v>53</v>
      </c>
      <c r="B104" s="8">
        <v>2</v>
      </c>
      <c r="C104" s="7">
        <f>B104*0.1/100</f>
        <v>2E-3</v>
      </c>
      <c r="D104" s="7">
        <f>B104*0/100</f>
        <v>0</v>
      </c>
      <c r="E104" s="7">
        <f>B104*0/100</f>
        <v>0</v>
      </c>
      <c r="F104" s="7">
        <f>B104*79.6/100</f>
        <v>1.5919999999999999</v>
      </c>
      <c r="G104" s="5"/>
      <c r="H104" s="1"/>
    </row>
    <row r="105" spans="1:8" x14ac:dyDescent="0.25">
      <c r="A105" s="2" t="s">
        <v>14</v>
      </c>
      <c r="B105" s="5"/>
      <c r="C105" s="5">
        <f>C102+C104</f>
        <v>0.24199999999999999</v>
      </c>
      <c r="D105" s="5">
        <f>D102</f>
        <v>0.12</v>
      </c>
      <c r="E105" s="5">
        <f>E102+E103</f>
        <v>10.872</v>
      </c>
      <c r="F105" s="5">
        <f>F102+F103+F104</f>
        <v>45.902000000000001</v>
      </c>
      <c r="G105" s="5">
        <v>190</v>
      </c>
      <c r="H105" s="1"/>
    </row>
    <row r="106" spans="1:8" x14ac:dyDescent="0.25">
      <c r="A106" s="1"/>
      <c r="B106" s="7"/>
      <c r="C106" s="7">
        <f t="shared" si="9"/>
        <v>0</v>
      </c>
      <c r="D106" s="7">
        <f t="shared" si="8"/>
        <v>0</v>
      </c>
      <c r="E106" s="7">
        <f t="shared" si="5"/>
        <v>0</v>
      </c>
      <c r="F106" s="7">
        <f t="shared" si="6"/>
        <v>0</v>
      </c>
      <c r="G106" s="5"/>
      <c r="H106" s="1"/>
    </row>
    <row r="107" spans="1:8" x14ac:dyDescent="0.25">
      <c r="A107" s="1" t="s">
        <v>32</v>
      </c>
      <c r="B107" s="8">
        <v>40</v>
      </c>
      <c r="C107" s="7">
        <f>B107*6.6/100</f>
        <v>2.64</v>
      </c>
      <c r="D107" s="7">
        <f>+D108</f>
        <v>1.05</v>
      </c>
      <c r="E107" s="7">
        <f>B107*34.2/100</f>
        <v>13.68</v>
      </c>
      <c r="F107" s="7">
        <f>B107*181/100</f>
        <v>72.400000000000006</v>
      </c>
      <c r="G107" s="5">
        <v>40</v>
      </c>
      <c r="H107" s="1"/>
    </row>
    <row r="108" spans="1:8" x14ac:dyDescent="0.25">
      <c r="A108" s="1" t="s">
        <v>12</v>
      </c>
      <c r="B108" s="8">
        <v>35</v>
      </c>
      <c r="C108" s="7">
        <f>B108*7.7/100</f>
        <v>2.6949999999999998</v>
      </c>
      <c r="D108" s="7">
        <f>B108*3/100</f>
        <v>1.05</v>
      </c>
      <c r="E108" s="7">
        <f>B108*49.8/100</f>
        <v>17.43</v>
      </c>
      <c r="F108" s="7">
        <f>B108*262/100</f>
        <v>91.7</v>
      </c>
      <c r="G108" s="5">
        <v>35</v>
      </c>
      <c r="H108" s="1"/>
    </row>
    <row r="109" spans="1:8" x14ac:dyDescent="0.25">
      <c r="A109" s="2" t="s">
        <v>14</v>
      </c>
      <c r="B109" s="5"/>
      <c r="C109" s="5">
        <f>C107+C108</f>
        <v>5.335</v>
      </c>
      <c r="D109" s="5">
        <f>+D114</f>
        <v>5.1520000000000001</v>
      </c>
      <c r="E109" s="5">
        <f>E107+E108</f>
        <v>31.11</v>
      </c>
      <c r="F109" s="5">
        <f>F107+F108</f>
        <v>164.10000000000002</v>
      </c>
      <c r="G109" s="5"/>
      <c r="H109" s="1"/>
    </row>
    <row r="110" spans="1:8" x14ac:dyDescent="0.25">
      <c r="A110" s="1" t="s">
        <v>55</v>
      </c>
      <c r="B110" s="7"/>
      <c r="C110" s="7"/>
      <c r="D110" s="7"/>
      <c r="E110" s="7"/>
      <c r="F110" s="7"/>
      <c r="G110" s="5"/>
      <c r="H110" s="1"/>
    </row>
    <row r="111" spans="1:8" x14ac:dyDescent="0.25">
      <c r="A111" s="3" t="s">
        <v>54</v>
      </c>
      <c r="B111" s="10">
        <v>51</v>
      </c>
      <c r="C111" s="10">
        <f>B111*0.8/100</f>
        <v>0.40800000000000003</v>
      </c>
      <c r="D111" s="10">
        <f>B111*0.1/100</f>
        <v>5.1000000000000004E-2</v>
      </c>
      <c r="E111" s="10">
        <f>B111*3.4/100</f>
        <v>1.734</v>
      </c>
      <c r="F111" s="10">
        <f>B111*14/100</f>
        <v>7.14</v>
      </c>
      <c r="G111" s="5"/>
      <c r="H111" s="1"/>
    </row>
    <row r="112" spans="1:8" x14ac:dyDescent="0.25">
      <c r="A112" s="1" t="s">
        <v>56</v>
      </c>
      <c r="B112" s="7">
        <v>53</v>
      </c>
      <c r="C112" s="7">
        <f>B112*1.1/100</f>
        <v>0.58300000000000007</v>
      </c>
      <c r="D112" s="7">
        <f>B112*0.2/100</f>
        <v>0.10600000000000001</v>
      </c>
      <c r="E112" s="7">
        <f>B112*3.3/100</f>
        <v>1.7489999999999997</v>
      </c>
      <c r="F112" s="7">
        <f>B112*23/100</f>
        <v>12.19</v>
      </c>
      <c r="G112" s="5"/>
      <c r="H112" s="1"/>
    </row>
    <row r="113" spans="1:8" x14ac:dyDescent="0.25">
      <c r="A113" s="3" t="s">
        <v>57</v>
      </c>
      <c r="B113" s="10">
        <v>5</v>
      </c>
      <c r="C113" s="10">
        <f>B113*0/100</f>
        <v>0</v>
      </c>
      <c r="D113" s="10">
        <f>B113*99.9/100</f>
        <v>4.9950000000000001</v>
      </c>
      <c r="E113" s="10">
        <f>B113*0/100</f>
        <v>0</v>
      </c>
      <c r="F113" s="10">
        <f>B113*899/100</f>
        <v>44.95</v>
      </c>
      <c r="G113" s="5">
        <v>105</v>
      </c>
      <c r="H113" s="1"/>
    </row>
    <row r="114" spans="1:8" x14ac:dyDescent="0.25">
      <c r="A114" s="2" t="s">
        <v>14</v>
      </c>
      <c r="B114" s="5"/>
      <c r="C114" s="5">
        <f>C111+C112</f>
        <v>0.9910000000000001</v>
      </c>
      <c r="D114" s="5">
        <f>D111+D112+D113</f>
        <v>5.1520000000000001</v>
      </c>
      <c r="E114" s="5">
        <f>E111+E112</f>
        <v>3.4829999999999997</v>
      </c>
      <c r="F114" s="5">
        <f>F112+F113</f>
        <v>57.14</v>
      </c>
      <c r="G114" s="5"/>
      <c r="H114" s="1"/>
    </row>
    <row r="115" spans="1:8" x14ac:dyDescent="0.25">
      <c r="A115" s="2" t="s">
        <v>76</v>
      </c>
      <c r="B115" s="5"/>
      <c r="C115" s="5">
        <f>C90+C96+C100+C105+C107+C108</f>
        <v>26.978000000000002</v>
      </c>
      <c r="D115" s="5">
        <f>D90+D96+D96+D100+D105+D109+D114</f>
        <v>24.908000000000001</v>
      </c>
      <c r="E115" s="5">
        <f>E90+E96+E100+E105+E109+E114</f>
        <v>177.60500000000002</v>
      </c>
      <c r="F115" s="5">
        <f>F114+F109+F105+F100+F96</f>
        <v>722.64400000000001</v>
      </c>
      <c r="G115" s="5"/>
      <c r="H115" s="1"/>
    </row>
    <row r="116" spans="1:8" x14ac:dyDescent="0.25">
      <c r="A116" s="15" t="s">
        <v>184</v>
      </c>
      <c r="B116" s="16"/>
      <c r="C116" s="16">
        <v>41.179000000000002</v>
      </c>
      <c r="D116" s="16">
        <f>D66+D71+D77+D90+D96+D100+D105+D109+D114</f>
        <v>44.019999999999996</v>
      </c>
      <c r="E116" s="16">
        <v>259.28300000000002</v>
      </c>
      <c r="F116" s="17">
        <f>F115+F78+F77</f>
        <v>1022.9639999999999</v>
      </c>
      <c r="G116" s="5">
        <v>700</v>
      </c>
      <c r="H116" s="1"/>
    </row>
    <row r="117" spans="1:8" x14ac:dyDescent="0.25">
      <c r="A117" s="15"/>
      <c r="B117" s="16"/>
      <c r="C117" s="16"/>
      <c r="D117" s="16"/>
      <c r="E117" s="16"/>
      <c r="F117" s="17"/>
      <c r="G117" s="5"/>
      <c r="H117" s="1"/>
    </row>
    <row r="118" spans="1:8" x14ac:dyDescent="0.25">
      <c r="A118" s="1"/>
      <c r="B118" s="7"/>
      <c r="C118" s="10"/>
      <c r="D118" s="10"/>
      <c r="E118" s="10"/>
      <c r="F118" s="7"/>
      <c r="G118" s="7"/>
      <c r="H118" s="1"/>
    </row>
    <row r="119" spans="1:8" x14ac:dyDescent="0.25">
      <c r="A119" s="2" t="s">
        <v>36</v>
      </c>
      <c r="B119" s="7"/>
      <c r="C119" s="10"/>
      <c r="D119" s="10"/>
      <c r="E119" s="10"/>
      <c r="F119" s="7"/>
      <c r="G119" s="7"/>
      <c r="H119" s="2" t="s">
        <v>58</v>
      </c>
    </row>
    <row r="120" spans="1:8" x14ac:dyDescent="0.25">
      <c r="A120" s="1" t="s">
        <v>59</v>
      </c>
      <c r="B120" s="7"/>
      <c r="C120" s="10"/>
      <c r="D120" s="10"/>
      <c r="E120" s="10"/>
      <c r="F120" s="7"/>
      <c r="G120" s="7"/>
      <c r="H120" s="1"/>
    </row>
    <row r="121" spans="1:8" x14ac:dyDescent="0.25">
      <c r="A121" s="1" t="s">
        <v>60</v>
      </c>
      <c r="B121" s="8">
        <v>120</v>
      </c>
      <c r="C121" s="10">
        <f>B121*16.7/100</f>
        <v>20.04</v>
      </c>
      <c r="D121" s="10">
        <f>B121*9/100</f>
        <v>10.8</v>
      </c>
      <c r="E121" s="10">
        <f>B121*1.9/100</f>
        <v>2.2799999999999998</v>
      </c>
      <c r="F121" s="7">
        <f>B121*88/100</f>
        <v>105.6</v>
      </c>
      <c r="G121" s="7"/>
      <c r="H121" s="1"/>
    </row>
    <row r="122" spans="1:8" x14ac:dyDescent="0.25">
      <c r="A122" s="1" t="s">
        <v>61</v>
      </c>
      <c r="B122" s="8">
        <v>9</v>
      </c>
      <c r="C122" s="10">
        <f>B122*10.3/100</f>
        <v>0.92700000000000005</v>
      </c>
      <c r="D122" s="10">
        <f>B122*1/100</f>
        <v>0.09</v>
      </c>
      <c r="E122" s="10">
        <f>B122*67.9/100</f>
        <v>6.1110000000000007</v>
      </c>
      <c r="F122" s="7">
        <f>B122*328/100</f>
        <v>29.52</v>
      </c>
      <c r="G122" s="7"/>
      <c r="H122" s="1"/>
    </row>
    <row r="123" spans="1:8" x14ac:dyDescent="0.25">
      <c r="A123" s="1" t="s">
        <v>21</v>
      </c>
      <c r="B123" s="8">
        <v>8</v>
      </c>
      <c r="C123" s="10">
        <f>B123*12.7/100</f>
        <v>1.016</v>
      </c>
      <c r="D123" s="10">
        <f>B123*11.5/100</f>
        <v>0.92</v>
      </c>
      <c r="E123" s="10">
        <f>B123*0.7/100</f>
        <v>5.5999999999999994E-2</v>
      </c>
      <c r="F123" s="7">
        <f>B123*157/100</f>
        <v>12.56</v>
      </c>
      <c r="G123" s="7"/>
      <c r="H123" s="1"/>
    </row>
    <row r="124" spans="1:8" x14ac:dyDescent="0.25">
      <c r="A124" s="1" t="s">
        <v>16</v>
      </c>
      <c r="B124" s="8">
        <v>30</v>
      </c>
      <c r="C124" s="10">
        <f>B124*1.3/100</f>
        <v>0.39</v>
      </c>
      <c r="D124" s="10">
        <f>B124*0.1/100</f>
        <v>0.03</v>
      </c>
      <c r="E124" s="10">
        <f>B124*8.4/100</f>
        <v>2.52</v>
      </c>
      <c r="F124" s="7">
        <f>B124*34/100</f>
        <v>10.199999999999999</v>
      </c>
      <c r="G124" s="7"/>
      <c r="H124" s="1"/>
    </row>
    <row r="125" spans="1:8" x14ac:dyDescent="0.25">
      <c r="A125" s="1" t="s">
        <v>7</v>
      </c>
      <c r="B125" s="8">
        <v>30</v>
      </c>
      <c r="C125" s="10">
        <f>B125*2.8/100</f>
        <v>0.84</v>
      </c>
      <c r="D125" s="10">
        <f>B125*3.5/100</f>
        <v>1.05</v>
      </c>
      <c r="E125" s="10">
        <f>B125*4.7/100</f>
        <v>1.41</v>
      </c>
      <c r="F125" s="7">
        <f>B125*61/100</f>
        <v>18.3</v>
      </c>
      <c r="G125" s="7"/>
      <c r="H125" s="1"/>
    </row>
    <row r="126" spans="1:8" x14ac:dyDescent="0.25">
      <c r="A126" s="1" t="s">
        <v>8</v>
      </c>
      <c r="B126" s="8">
        <v>2</v>
      </c>
      <c r="C126" s="10">
        <f>B126*0.7/100</f>
        <v>1.3999999999999999E-2</v>
      </c>
      <c r="D126" s="10">
        <f>B126*72.5/100</f>
        <v>1.45</v>
      </c>
      <c r="E126" s="10">
        <f>B126*1/100</f>
        <v>0.02</v>
      </c>
      <c r="F126" s="7">
        <f>B126*709/100</f>
        <v>14.18</v>
      </c>
      <c r="G126" s="7"/>
      <c r="H126" s="1"/>
    </row>
    <row r="127" spans="1:8" x14ac:dyDescent="0.25">
      <c r="A127" s="1" t="s">
        <v>57</v>
      </c>
      <c r="B127" s="8">
        <v>3</v>
      </c>
      <c r="C127" s="10">
        <f t="shared" ref="C127" si="10">B127*0/100</f>
        <v>0</v>
      </c>
      <c r="D127" s="10">
        <f>B127*99.9/100</f>
        <v>2.9970000000000003</v>
      </c>
      <c r="E127" s="10">
        <f t="shared" ref="E127" si="11">B127*0/100</f>
        <v>0</v>
      </c>
      <c r="F127" s="7">
        <f>B127*899/100</f>
        <v>26.97</v>
      </c>
      <c r="G127" s="7"/>
      <c r="H127" s="1"/>
    </row>
    <row r="128" spans="1:8" x14ac:dyDescent="0.25">
      <c r="A128" s="1" t="s">
        <v>62</v>
      </c>
      <c r="B128" s="8">
        <v>30</v>
      </c>
      <c r="C128" s="10">
        <f>B128*7.2/100</f>
        <v>2.16</v>
      </c>
      <c r="D128" s="10">
        <f>B128*8.5/100</f>
        <v>2.5499999999999998</v>
      </c>
      <c r="E128" s="10">
        <f>B128*56/100</f>
        <v>16.8</v>
      </c>
      <c r="F128" s="7">
        <f>B128*320/100</f>
        <v>96</v>
      </c>
      <c r="G128" s="5"/>
      <c r="H128" s="1"/>
    </row>
    <row r="129" spans="1:8" x14ac:dyDescent="0.25">
      <c r="A129" s="3" t="s">
        <v>9</v>
      </c>
      <c r="B129" s="11">
        <v>9</v>
      </c>
      <c r="C129" s="10">
        <f t="shared" ref="C129:C137" si="12">B129*7.2/100</f>
        <v>0.64800000000000002</v>
      </c>
      <c r="D129" s="10">
        <f t="shared" ref="D129:D137" si="13">B129*8.5/100</f>
        <v>0.76500000000000001</v>
      </c>
      <c r="E129" s="10">
        <f>B129*99.8/100</f>
        <v>8.9819999999999993</v>
      </c>
      <c r="F129" s="10">
        <f>B129*379/100</f>
        <v>34.11</v>
      </c>
      <c r="G129" s="5" t="s">
        <v>78</v>
      </c>
      <c r="H129" s="1"/>
    </row>
    <row r="130" spans="1:8" x14ac:dyDescent="0.25">
      <c r="A130" s="2" t="s">
        <v>14</v>
      </c>
      <c r="B130" s="5"/>
      <c r="C130" s="5">
        <f>C121+C122+C123+C124+C125+C126+C127+C128+C129</f>
        <v>26.034999999999997</v>
      </c>
      <c r="D130" s="5">
        <f>D121+D122+D123+D124+D125+D126+D127+D128+D129</f>
        <v>20.652000000000001</v>
      </c>
      <c r="E130" s="5">
        <f>E121+E122+E123+E124+E125+E126+E127+E128+E129</f>
        <v>38.179000000000002</v>
      </c>
      <c r="F130" s="5">
        <f>F121+F122+F123+F124+F125+F126+F127+F128+F129</f>
        <v>347.44000000000005</v>
      </c>
      <c r="G130" s="5"/>
      <c r="H130" s="1"/>
    </row>
    <row r="131" spans="1:8" x14ac:dyDescent="0.25">
      <c r="A131" s="1" t="s">
        <v>63</v>
      </c>
      <c r="B131" s="7"/>
      <c r="C131" s="10"/>
      <c r="D131" s="10"/>
      <c r="E131" s="10"/>
      <c r="F131" s="10"/>
      <c r="G131" s="5"/>
      <c r="H131" s="1"/>
    </row>
    <row r="132" spans="1:8" x14ac:dyDescent="0.25">
      <c r="A132" s="1" t="s">
        <v>7</v>
      </c>
      <c r="B132" s="7">
        <v>100</v>
      </c>
      <c r="C132" s="10">
        <f>B132*2.8/100</f>
        <v>2.8</v>
      </c>
      <c r="D132" s="10">
        <f t="shared" si="13"/>
        <v>8.5</v>
      </c>
      <c r="E132" s="10">
        <f t="shared" ref="E132:E163" si="14">B132*99.8/100</f>
        <v>99.8</v>
      </c>
      <c r="F132" s="10">
        <f t="shared" ref="F132:F188" si="15">B132*379/100</f>
        <v>379</v>
      </c>
      <c r="G132" s="5"/>
      <c r="H132" s="1"/>
    </row>
    <row r="133" spans="1:8" x14ac:dyDescent="0.25">
      <c r="A133" s="1" t="s">
        <v>89</v>
      </c>
      <c r="B133" s="8">
        <v>2</v>
      </c>
      <c r="C133" s="10">
        <f>B133*24.2/100</f>
        <v>0.48399999999999999</v>
      </c>
      <c r="D133" s="10">
        <f>B133*17.5/100</f>
        <v>0.35</v>
      </c>
      <c r="E133" s="10">
        <f>B133*27.9/100</f>
        <v>0.55799999999999994</v>
      </c>
      <c r="F133" s="10">
        <f>B133*373/100</f>
        <v>7.46</v>
      </c>
      <c r="G133" s="5"/>
      <c r="H133" s="1"/>
    </row>
    <row r="134" spans="1:8" x14ac:dyDescent="0.25">
      <c r="A134" s="3" t="s">
        <v>9</v>
      </c>
      <c r="B134" s="11">
        <v>8</v>
      </c>
      <c r="C134" s="10">
        <f>B134*0/100</f>
        <v>0</v>
      </c>
      <c r="D134" s="10">
        <f>B134*0/100</f>
        <v>0</v>
      </c>
      <c r="E134" s="10">
        <f t="shared" si="14"/>
        <v>7.984</v>
      </c>
      <c r="F134" s="10">
        <f t="shared" si="15"/>
        <v>30.32</v>
      </c>
      <c r="G134" s="5">
        <v>200</v>
      </c>
      <c r="H134" s="1"/>
    </row>
    <row r="135" spans="1:8" x14ac:dyDescent="0.25">
      <c r="A135" s="2" t="s">
        <v>14</v>
      </c>
      <c r="B135" s="5"/>
      <c r="C135" s="5">
        <f>C132+C133+C134</f>
        <v>3.2839999999999998</v>
      </c>
      <c r="D135" s="5">
        <f>D132+D133+D134</f>
        <v>8.85</v>
      </c>
      <c r="E135" s="5">
        <f>E132+E133+E134</f>
        <v>108.342</v>
      </c>
      <c r="F135" s="5">
        <f>F132+F133+F134</f>
        <v>416.78</v>
      </c>
      <c r="G135" s="5"/>
      <c r="H135" s="1"/>
    </row>
    <row r="136" spans="1:8" x14ac:dyDescent="0.25">
      <c r="A136" s="1" t="s">
        <v>12</v>
      </c>
      <c r="B136" s="7">
        <v>40</v>
      </c>
      <c r="C136" s="10">
        <f t="shared" si="12"/>
        <v>2.88</v>
      </c>
      <c r="D136" s="10">
        <f t="shared" si="13"/>
        <v>3.4</v>
      </c>
      <c r="E136" s="10">
        <f t="shared" si="14"/>
        <v>39.92</v>
      </c>
      <c r="F136" s="10">
        <f t="shared" si="15"/>
        <v>151.6</v>
      </c>
      <c r="G136" s="5">
        <v>40</v>
      </c>
      <c r="H136" s="1"/>
    </row>
    <row r="137" spans="1:8" x14ac:dyDescent="0.25">
      <c r="A137" s="1" t="s">
        <v>8</v>
      </c>
      <c r="B137" s="7">
        <v>8</v>
      </c>
      <c r="C137" s="10">
        <f t="shared" si="12"/>
        <v>0.57600000000000007</v>
      </c>
      <c r="D137" s="10">
        <f t="shared" si="13"/>
        <v>0.68</v>
      </c>
      <c r="E137" s="10">
        <f t="shared" si="14"/>
        <v>7.984</v>
      </c>
      <c r="F137" s="10">
        <f t="shared" si="15"/>
        <v>30.32</v>
      </c>
      <c r="G137" s="5">
        <v>8</v>
      </c>
      <c r="H137" s="1"/>
    </row>
    <row r="138" spans="1:8" x14ac:dyDescent="0.25">
      <c r="A138" s="2" t="s">
        <v>75</v>
      </c>
      <c r="B138" s="5"/>
      <c r="C138" s="5">
        <f>C130+C135+C136+C137</f>
        <v>32.774999999999999</v>
      </c>
      <c r="D138" s="5">
        <f>D130+D135+D136+D137</f>
        <v>33.582000000000001</v>
      </c>
      <c r="E138" s="5">
        <f>E130+E135+E136+E137</f>
        <v>194.42500000000004</v>
      </c>
      <c r="F138" s="5">
        <f>F130+F135+F136+F137</f>
        <v>946.1400000000001</v>
      </c>
      <c r="G138" s="5">
        <v>478</v>
      </c>
      <c r="H138" s="1"/>
    </row>
    <row r="139" spans="1:8" x14ac:dyDescent="0.25">
      <c r="A139" s="2" t="s">
        <v>145</v>
      </c>
      <c r="B139" s="9">
        <v>120</v>
      </c>
      <c r="C139" s="5">
        <f>B139*0.9/100</f>
        <v>1.08</v>
      </c>
      <c r="D139" s="5">
        <f>B139*0.2/100</f>
        <v>0.24</v>
      </c>
      <c r="E139" s="5">
        <f>B139*8.1/100</f>
        <v>9.7200000000000006</v>
      </c>
      <c r="F139" s="5">
        <f>B139*40/100</f>
        <v>48</v>
      </c>
      <c r="G139" s="5">
        <v>120</v>
      </c>
      <c r="H139" s="1"/>
    </row>
    <row r="140" spans="1:8" x14ac:dyDescent="0.25">
      <c r="A140" s="2" t="s">
        <v>33</v>
      </c>
      <c r="B140" s="7"/>
      <c r="C140" s="10"/>
      <c r="D140" s="10"/>
      <c r="E140" s="10"/>
      <c r="F140" s="10"/>
      <c r="G140" s="7"/>
      <c r="H140" s="1"/>
    </row>
    <row r="141" spans="1:8" x14ac:dyDescent="0.25">
      <c r="A141" s="1" t="s">
        <v>64</v>
      </c>
      <c r="B141" s="7"/>
      <c r="C141" s="10"/>
      <c r="D141" s="10"/>
      <c r="E141" s="10"/>
      <c r="F141" s="10"/>
      <c r="G141" s="7"/>
      <c r="H141" s="1"/>
    </row>
    <row r="142" spans="1:8" x14ac:dyDescent="0.25">
      <c r="A142" s="1" t="s">
        <v>65</v>
      </c>
      <c r="B142" s="8">
        <v>15</v>
      </c>
      <c r="C142" s="10">
        <f>B142*18.2/100</f>
        <v>2.73</v>
      </c>
      <c r="D142" s="10">
        <f>B142*18.4/100</f>
        <v>2.76</v>
      </c>
      <c r="E142" s="10">
        <f>B142*0.7/100</f>
        <v>0.105</v>
      </c>
      <c r="F142" s="10">
        <f>B142*241/100</f>
        <v>36.15</v>
      </c>
      <c r="G142" s="7"/>
      <c r="H142" s="1"/>
    </row>
    <row r="143" spans="1:8" x14ac:dyDescent="0.25">
      <c r="A143" s="1" t="s">
        <v>66</v>
      </c>
      <c r="B143" s="8">
        <v>9</v>
      </c>
      <c r="C143" s="10">
        <f>B143*7/100</f>
        <v>0.63</v>
      </c>
      <c r="D143" s="10">
        <f>B143*1/100</f>
        <v>0.09</v>
      </c>
      <c r="E143" s="10">
        <f>B143*71.4/100</f>
        <v>6.4260000000000002</v>
      </c>
      <c r="F143" s="10">
        <f>B143*330/100</f>
        <v>29.7</v>
      </c>
      <c r="G143" s="7"/>
      <c r="H143" s="1"/>
    </row>
    <row r="144" spans="1:8" x14ac:dyDescent="0.25">
      <c r="A144" s="1" t="s">
        <v>15</v>
      </c>
      <c r="B144" s="8">
        <v>40</v>
      </c>
      <c r="C144" s="10">
        <f>B144*2/100</f>
        <v>0.8</v>
      </c>
      <c r="D144" s="10">
        <f>B144*0.4/100</f>
        <v>0.16</v>
      </c>
      <c r="E144" s="10">
        <f>B144*17.3/100</f>
        <v>6.92</v>
      </c>
      <c r="F144" s="10">
        <f>B144*80/100</f>
        <v>32</v>
      </c>
      <c r="G144" s="7"/>
      <c r="H144" s="1"/>
    </row>
    <row r="145" spans="1:8" x14ac:dyDescent="0.25">
      <c r="A145" s="1" t="s">
        <v>16</v>
      </c>
      <c r="B145" s="8">
        <v>11</v>
      </c>
      <c r="C145" s="10">
        <f>B145*1.3/100</f>
        <v>0.14300000000000002</v>
      </c>
      <c r="D145" s="10">
        <f>B145*0.1/100</f>
        <v>1.1000000000000001E-2</v>
      </c>
      <c r="E145" s="10">
        <f>B145*8.4/100</f>
        <v>0.92400000000000004</v>
      </c>
      <c r="F145" s="10">
        <f>B145*34/100</f>
        <v>3.74</v>
      </c>
      <c r="G145" s="7"/>
      <c r="H145" s="1"/>
    </row>
    <row r="146" spans="1:8" x14ac:dyDescent="0.25">
      <c r="A146" s="1" t="s">
        <v>20</v>
      </c>
      <c r="B146" s="8">
        <v>11</v>
      </c>
      <c r="C146" s="10">
        <f>B146*1.4/100</f>
        <v>0.154</v>
      </c>
      <c r="D146" s="10">
        <f>B146*0/100</f>
        <v>0</v>
      </c>
      <c r="E146" s="10">
        <f>B146*9.1/100</f>
        <v>1.0009999999999999</v>
      </c>
      <c r="F146" s="10">
        <f t="shared" si="15"/>
        <v>41.69</v>
      </c>
      <c r="G146" s="7"/>
      <c r="H146" s="1"/>
    </row>
    <row r="147" spans="1:8" x14ac:dyDescent="0.25">
      <c r="A147" s="1" t="s">
        <v>28</v>
      </c>
      <c r="B147" s="8">
        <v>4</v>
      </c>
      <c r="C147" s="10">
        <f>B147*4.8/100</f>
        <v>0.192</v>
      </c>
      <c r="D147" s="10">
        <f>B147*0/100</f>
        <v>0</v>
      </c>
      <c r="E147" s="10">
        <f>B147*19/100</f>
        <v>0.76</v>
      </c>
      <c r="F147" s="10">
        <f>B147*99/100</f>
        <v>3.96</v>
      </c>
      <c r="G147" s="7"/>
      <c r="H147" s="1"/>
    </row>
    <row r="148" spans="1:8" x14ac:dyDescent="0.25">
      <c r="A148" s="1" t="s">
        <v>8</v>
      </c>
      <c r="B148" s="8">
        <v>2</v>
      </c>
      <c r="C148" s="10">
        <f>B148*0.7/100</f>
        <v>1.3999999999999999E-2</v>
      </c>
      <c r="D148" s="10">
        <f>B148*72.5/100</f>
        <v>1.45</v>
      </c>
      <c r="E148" s="10">
        <f>B148*1/100</f>
        <v>0.02</v>
      </c>
      <c r="F148" s="10">
        <f>B148*709/100</f>
        <v>14.18</v>
      </c>
      <c r="G148" s="7"/>
      <c r="H148" s="1"/>
    </row>
    <row r="149" spans="1:8" x14ac:dyDescent="0.25">
      <c r="A149" s="2" t="s">
        <v>14</v>
      </c>
      <c r="B149" s="5"/>
      <c r="C149" s="5">
        <f>C142+C143+C144+C145+C146+C147+C148</f>
        <v>4.6630000000000003</v>
      </c>
      <c r="D149" s="5">
        <f>D142+D143+D144+D145+D146+D147+D148</f>
        <v>4.4710000000000001</v>
      </c>
      <c r="E149" s="5">
        <f>E142+E143+E144+E145+E146+E147+E148</f>
        <v>16.155999999999999</v>
      </c>
      <c r="F149" s="5">
        <f>F142+F143+F144+F145+F146+F147+F148</f>
        <v>161.41999999999999</v>
      </c>
      <c r="G149" s="5">
        <v>200</v>
      </c>
      <c r="H149" s="1"/>
    </row>
    <row r="150" spans="1:8" x14ac:dyDescent="0.25">
      <c r="A150" s="1" t="s">
        <v>67</v>
      </c>
      <c r="B150" s="7"/>
      <c r="C150" s="10"/>
      <c r="D150" s="10"/>
      <c r="E150" s="10"/>
      <c r="F150" s="10"/>
      <c r="G150" s="7"/>
      <c r="H150" s="1"/>
    </row>
    <row r="151" spans="1:8" x14ac:dyDescent="0.25">
      <c r="A151" s="1" t="s">
        <v>68</v>
      </c>
      <c r="B151" s="8">
        <v>60</v>
      </c>
      <c r="C151" s="10">
        <f>B151*17.9/100</f>
        <v>10.74</v>
      </c>
      <c r="D151" s="10">
        <f>B151*3.7/100</f>
        <v>2.2200000000000002</v>
      </c>
      <c r="E151" s="10">
        <f>B151*0/100</f>
        <v>0</v>
      </c>
      <c r="F151" s="10">
        <f>B151*105/100</f>
        <v>63</v>
      </c>
      <c r="G151" s="7"/>
      <c r="H151" s="1"/>
    </row>
    <row r="152" spans="1:8" x14ac:dyDescent="0.25">
      <c r="A152" s="1" t="s">
        <v>70</v>
      </c>
      <c r="B152" s="8">
        <v>5</v>
      </c>
      <c r="C152" s="10">
        <f>B152*10.6/100</f>
        <v>0.53</v>
      </c>
      <c r="D152" s="10">
        <f>B152*1.3/100</f>
        <v>6.5000000000000002E-2</v>
      </c>
      <c r="E152" s="10">
        <f>B152*67.7/100</f>
        <v>3.3849999999999998</v>
      </c>
      <c r="F152" s="10">
        <f>B152*331/100</f>
        <v>16.55</v>
      </c>
      <c r="G152" s="7"/>
      <c r="H152" s="1"/>
    </row>
    <row r="153" spans="1:8" x14ac:dyDescent="0.25">
      <c r="A153" s="1" t="s">
        <v>20</v>
      </c>
      <c r="B153" s="8">
        <v>11</v>
      </c>
      <c r="C153" s="10">
        <f>B153*1.4/100</f>
        <v>0.154</v>
      </c>
      <c r="D153" s="10">
        <f>B153*0/100</f>
        <v>0</v>
      </c>
      <c r="E153" s="10">
        <f>B153*9.1/100</f>
        <v>1.0009999999999999</v>
      </c>
      <c r="F153" s="10">
        <f>B153*41/100</f>
        <v>4.51</v>
      </c>
      <c r="G153" s="7"/>
      <c r="H153" s="1"/>
    </row>
    <row r="154" spans="1:8" x14ac:dyDescent="0.25">
      <c r="A154" s="1" t="s">
        <v>16</v>
      </c>
      <c r="B154" s="8">
        <v>11</v>
      </c>
      <c r="C154" s="10">
        <f>B154*1.3/100</f>
        <v>0.14300000000000002</v>
      </c>
      <c r="D154" s="10">
        <f>B154*0/100</f>
        <v>0</v>
      </c>
      <c r="E154" s="10">
        <f>B154*8.4/100</f>
        <v>0.92400000000000004</v>
      </c>
      <c r="F154" s="10">
        <f>B154*34/100</f>
        <v>3.74</v>
      </c>
      <c r="G154" s="7"/>
      <c r="H154" s="1"/>
    </row>
    <row r="155" spans="1:8" x14ac:dyDescent="0.25">
      <c r="A155" s="1" t="s">
        <v>69</v>
      </c>
      <c r="B155" s="8">
        <v>5</v>
      </c>
      <c r="C155" s="10">
        <f>B155*2.8/100</f>
        <v>0.14000000000000001</v>
      </c>
      <c r="D155" s="10">
        <f>B155*15/100</f>
        <v>0.75</v>
      </c>
      <c r="E155" s="10">
        <f>B155*3.2/100</f>
        <v>0.16</v>
      </c>
      <c r="F155" s="10">
        <f>B155*206/100</f>
        <v>10.3</v>
      </c>
      <c r="G155" s="5"/>
      <c r="H155" s="1"/>
    </row>
    <row r="156" spans="1:8" x14ac:dyDescent="0.25">
      <c r="A156" s="2" t="s">
        <v>14</v>
      </c>
      <c r="B156" s="5"/>
      <c r="C156" s="5">
        <f>C151+C152+C153+C154+C155</f>
        <v>11.707000000000001</v>
      </c>
      <c r="D156" s="5">
        <f>D151+D152+D153+D154+D155</f>
        <v>3.0350000000000001</v>
      </c>
      <c r="E156" s="5">
        <f>E151+E152+E153+E154+E155</f>
        <v>5.47</v>
      </c>
      <c r="F156" s="5">
        <f>F151+F152+F153+F154+F155</f>
        <v>98.1</v>
      </c>
      <c r="G156" s="5" t="s">
        <v>93</v>
      </c>
      <c r="H156" s="1"/>
    </row>
    <row r="157" spans="1:8" x14ac:dyDescent="0.25">
      <c r="A157" s="1" t="s">
        <v>71</v>
      </c>
      <c r="B157" s="7"/>
      <c r="C157" s="10"/>
      <c r="D157" s="10"/>
      <c r="E157" s="10"/>
      <c r="F157" s="10"/>
      <c r="G157" s="5"/>
      <c r="H157" s="1"/>
    </row>
    <row r="158" spans="1:8" x14ac:dyDescent="0.25">
      <c r="A158" s="1" t="s">
        <v>15</v>
      </c>
      <c r="B158" s="8">
        <v>145</v>
      </c>
      <c r="C158" s="10">
        <f>B158*2/100</f>
        <v>2.9</v>
      </c>
      <c r="D158" s="10">
        <f>B158*0.4/100</f>
        <v>0.57999999999999996</v>
      </c>
      <c r="E158" s="10">
        <f>B158*17.3/100</f>
        <v>25.085000000000001</v>
      </c>
      <c r="F158" s="10">
        <f>B158*80/100</f>
        <v>116</v>
      </c>
      <c r="G158" s="5"/>
      <c r="H158" s="1"/>
    </row>
    <row r="159" spans="1:8" x14ac:dyDescent="0.25">
      <c r="A159" s="1" t="s">
        <v>7</v>
      </c>
      <c r="B159" s="8">
        <v>40</v>
      </c>
      <c r="C159" s="10">
        <f>B159*2.8/100</f>
        <v>1.1200000000000001</v>
      </c>
      <c r="D159" s="10">
        <f>B159*3.5/100</f>
        <v>1.4</v>
      </c>
      <c r="E159" s="10">
        <f>B159*4.7/100</f>
        <v>1.88</v>
      </c>
      <c r="F159" s="10">
        <f>B159*61/100</f>
        <v>24.4</v>
      </c>
      <c r="G159" s="5"/>
      <c r="H159" s="1"/>
    </row>
    <row r="160" spans="1:8" x14ac:dyDescent="0.25">
      <c r="A160" s="1" t="s">
        <v>8</v>
      </c>
      <c r="B160" s="8">
        <v>3</v>
      </c>
      <c r="C160" s="10">
        <f>B160*0.7/100</f>
        <v>2.0999999999999998E-2</v>
      </c>
      <c r="D160" s="10">
        <f>B160*72.5/100</f>
        <v>2.1749999999999998</v>
      </c>
      <c r="E160" s="10">
        <f>B160*1/100</f>
        <v>0.03</v>
      </c>
      <c r="F160" s="10">
        <f>B160*709/100</f>
        <v>21.27</v>
      </c>
      <c r="G160" s="5"/>
      <c r="H160" s="1"/>
    </row>
    <row r="161" spans="1:8" x14ac:dyDescent="0.25">
      <c r="A161" s="2" t="s">
        <v>14</v>
      </c>
      <c r="B161" s="5"/>
      <c r="C161" s="5">
        <f>C158+C159+C160</f>
        <v>4.0409999999999995</v>
      </c>
      <c r="D161" s="5">
        <f>D158+D159+D160</f>
        <v>4.1549999999999994</v>
      </c>
      <c r="E161" s="5">
        <f>E158+E159+E160</f>
        <v>26.995000000000001</v>
      </c>
      <c r="F161" s="5">
        <f>F158+F159+F160</f>
        <v>161.67000000000002</v>
      </c>
      <c r="G161" s="5">
        <v>145</v>
      </c>
      <c r="H161" s="1"/>
    </row>
    <row r="162" spans="1:8" x14ac:dyDescent="0.25">
      <c r="A162" s="1" t="s">
        <v>72</v>
      </c>
      <c r="B162" s="7"/>
      <c r="C162" s="10"/>
      <c r="D162" s="10"/>
      <c r="E162" s="10"/>
      <c r="F162" s="10"/>
      <c r="G162" s="5"/>
      <c r="H162" s="1"/>
    </row>
    <row r="163" spans="1:8" x14ac:dyDescent="0.25">
      <c r="A163" s="1" t="s">
        <v>73</v>
      </c>
      <c r="B163" s="8">
        <v>7</v>
      </c>
      <c r="C163" s="10">
        <f>B163*3.4/100</f>
        <v>0.23800000000000002</v>
      </c>
      <c r="D163" s="10">
        <f>B163*0/100</f>
        <v>0</v>
      </c>
      <c r="E163" s="10">
        <f t="shared" si="14"/>
        <v>6.9860000000000007</v>
      </c>
      <c r="F163" s="10">
        <f>B163*110/100</f>
        <v>7.7</v>
      </c>
      <c r="G163" s="5"/>
      <c r="H163" s="1"/>
    </row>
    <row r="164" spans="1:8" x14ac:dyDescent="0.25">
      <c r="A164" s="1" t="s">
        <v>9</v>
      </c>
      <c r="B164" s="8">
        <v>8</v>
      </c>
      <c r="C164" s="10">
        <f>B164*0/100</f>
        <v>0</v>
      </c>
      <c r="D164" s="10">
        <f>B164*0/100</f>
        <v>0</v>
      </c>
      <c r="E164" s="10">
        <f>B164*99.8/100</f>
        <v>7.984</v>
      </c>
      <c r="F164" s="10">
        <f t="shared" si="15"/>
        <v>30.32</v>
      </c>
      <c r="G164" s="5"/>
      <c r="H164" s="1"/>
    </row>
    <row r="165" spans="1:8" x14ac:dyDescent="0.25">
      <c r="A165" s="2" t="s">
        <v>74</v>
      </c>
      <c r="B165" s="5"/>
      <c r="C165" s="5">
        <f>C163+C164</f>
        <v>0.23800000000000002</v>
      </c>
      <c r="D165" s="5">
        <f>D163+D164</f>
        <v>0</v>
      </c>
      <c r="E165" s="5">
        <f>E163+E164</f>
        <v>14.97</v>
      </c>
      <c r="F165" s="5">
        <f>F163+F164</f>
        <v>38.020000000000003</v>
      </c>
      <c r="G165" s="5">
        <v>200</v>
      </c>
      <c r="H165" s="1"/>
    </row>
    <row r="166" spans="1:8" x14ac:dyDescent="0.25">
      <c r="A166" s="1" t="s">
        <v>12</v>
      </c>
      <c r="B166" s="8">
        <v>25</v>
      </c>
      <c r="C166" s="10">
        <f>B166*7.7/100</f>
        <v>1.925</v>
      </c>
      <c r="D166" s="10">
        <f>B166*3/100</f>
        <v>0.75</v>
      </c>
      <c r="E166" s="10">
        <f>B166*49.8/100</f>
        <v>12.45</v>
      </c>
      <c r="F166" s="10">
        <f>B166*262/100</f>
        <v>65.5</v>
      </c>
      <c r="G166" s="5">
        <v>35</v>
      </c>
      <c r="H166" s="1"/>
    </row>
    <row r="167" spans="1:8" x14ac:dyDescent="0.25">
      <c r="A167" s="1" t="s">
        <v>32</v>
      </c>
      <c r="B167" s="8">
        <v>35</v>
      </c>
      <c r="C167" s="10">
        <f>B167*6.6/100</f>
        <v>2.31</v>
      </c>
      <c r="D167" s="10">
        <f>B167*1.2/100</f>
        <v>0.42</v>
      </c>
      <c r="E167" s="10">
        <f>B167*34.2/100</f>
        <v>11.97</v>
      </c>
      <c r="F167" s="10">
        <f>B167*181/100</f>
        <v>63.35</v>
      </c>
      <c r="G167" s="5">
        <v>40</v>
      </c>
      <c r="H167" s="1"/>
    </row>
    <row r="168" spans="1:8" x14ac:dyDescent="0.25">
      <c r="A168" s="2" t="s">
        <v>14</v>
      </c>
      <c r="B168" s="5"/>
      <c r="C168" s="5">
        <f>C166+C167</f>
        <v>4.2350000000000003</v>
      </c>
      <c r="D168" s="5">
        <f>D166+D167</f>
        <v>1.17</v>
      </c>
      <c r="E168" s="5">
        <f>E166+E167</f>
        <v>24.42</v>
      </c>
      <c r="F168" s="5">
        <f>F166+F167</f>
        <v>128.85</v>
      </c>
      <c r="G168" s="7"/>
      <c r="H168" s="1"/>
    </row>
    <row r="169" spans="1:8" x14ac:dyDescent="0.25">
      <c r="A169" s="1"/>
      <c r="B169" s="8"/>
      <c r="C169" s="10"/>
      <c r="D169" s="10"/>
      <c r="E169" s="10"/>
      <c r="F169" s="10"/>
      <c r="G169" s="7"/>
      <c r="H169" s="1"/>
    </row>
    <row r="170" spans="1:8" x14ac:dyDescent="0.25">
      <c r="A170" s="1" t="s">
        <v>26</v>
      </c>
      <c r="B170" s="8">
        <v>60</v>
      </c>
      <c r="C170" s="10">
        <f>B170*1.8/100</f>
        <v>1.08</v>
      </c>
      <c r="D170" s="10">
        <f>B170*0.1/100</f>
        <v>0.06</v>
      </c>
      <c r="E170" s="10">
        <f>B170*4.7/100</f>
        <v>2.82</v>
      </c>
      <c r="F170" s="10">
        <f>B170*27/100</f>
        <v>16.2</v>
      </c>
      <c r="G170" s="7"/>
      <c r="H170" s="1"/>
    </row>
    <row r="171" spans="1:8" x14ac:dyDescent="0.25">
      <c r="A171" s="1" t="s">
        <v>16</v>
      </c>
      <c r="B171" s="8">
        <v>11</v>
      </c>
      <c r="C171" s="10">
        <f>B171*1.3/100</f>
        <v>0.14300000000000002</v>
      </c>
      <c r="D171" s="10">
        <f>B171*0.1/100</f>
        <v>1.1000000000000001E-2</v>
      </c>
      <c r="E171" s="10">
        <f>B171*8.4/100</f>
        <v>0.92400000000000004</v>
      </c>
      <c r="F171" s="10">
        <f>B171*34/100</f>
        <v>3.74</v>
      </c>
      <c r="G171" s="7"/>
      <c r="H171" s="1"/>
    </row>
    <row r="172" spans="1:8" x14ac:dyDescent="0.25">
      <c r="A172" s="1" t="s">
        <v>57</v>
      </c>
      <c r="B172" s="8">
        <v>5</v>
      </c>
      <c r="C172" s="10">
        <f>B172*0/100</f>
        <v>0</v>
      </c>
      <c r="D172" s="10">
        <f>B172*99.9/100</f>
        <v>4.9950000000000001</v>
      </c>
      <c r="E172" s="10">
        <f>B172*0/100</f>
        <v>0</v>
      </c>
      <c r="F172" s="10">
        <f>B172*899/100</f>
        <v>44.95</v>
      </c>
      <c r="G172" s="7"/>
      <c r="H172" s="1"/>
    </row>
    <row r="173" spans="1:8" x14ac:dyDescent="0.25">
      <c r="A173" s="2" t="s">
        <v>14</v>
      </c>
      <c r="B173" s="5"/>
      <c r="C173" s="5">
        <f>C170+C171+C172</f>
        <v>1.2230000000000001</v>
      </c>
      <c r="D173" s="5">
        <f>D170+D171+D172</f>
        <v>5.0659999999999998</v>
      </c>
      <c r="E173" s="5">
        <f>E170+E171++E172</f>
        <v>3.7439999999999998</v>
      </c>
      <c r="F173" s="5">
        <f>F170+F171+F172</f>
        <v>64.89</v>
      </c>
      <c r="G173" s="5">
        <v>60</v>
      </c>
      <c r="H173" s="1"/>
    </row>
    <row r="174" spans="1:8" x14ac:dyDescent="0.25">
      <c r="A174" s="2" t="s">
        <v>76</v>
      </c>
      <c r="B174" s="5"/>
      <c r="C174" s="5">
        <f>C156+C161+C165+C168+C173</f>
        <v>21.443999999999999</v>
      </c>
      <c r="D174" s="5">
        <f>D149+D156+D161+D168+D173</f>
        <v>17.896999999999998</v>
      </c>
      <c r="E174" s="5">
        <f>E149+E156+E161+E165+E168+E173</f>
        <v>91.754999999999995</v>
      </c>
      <c r="F174" s="5">
        <f>F149+F156+F161+F165+F168+F173</f>
        <v>652.94999999999993</v>
      </c>
      <c r="G174" s="5">
        <v>700</v>
      </c>
      <c r="H174" s="1"/>
    </row>
    <row r="175" spans="1:8" x14ac:dyDescent="0.25">
      <c r="A175" s="1"/>
      <c r="B175" s="7"/>
      <c r="C175" s="10"/>
      <c r="D175" s="10"/>
      <c r="E175" s="10"/>
      <c r="F175" s="10"/>
      <c r="G175" s="7"/>
      <c r="H175" s="1"/>
    </row>
    <row r="176" spans="1:8" x14ac:dyDescent="0.25">
      <c r="A176" s="15" t="s">
        <v>86</v>
      </c>
      <c r="B176" s="16"/>
      <c r="C176" s="16">
        <v>60.231999999999999</v>
      </c>
      <c r="D176" s="16">
        <v>51.796999999999997</v>
      </c>
      <c r="E176" s="16">
        <v>298.68</v>
      </c>
      <c r="F176" s="16">
        <v>1659.09</v>
      </c>
      <c r="G176" s="7"/>
      <c r="H176" s="1"/>
    </row>
    <row r="177" spans="1:8" x14ac:dyDescent="0.25">
      <c r="A177" s="15"/>
      <c r="B177" s="16"/>
      <c r="C177" s="16"/>
      <c r="D177" s="16"/>
      <c r="E177" s="16"/>
      <c r="F177" s="16"/>
      <c r="G177" s="7"/>
      <c r="H177" s="1"/>
    </row>
    <row r="178" spans="1:8" x14ac:dyDescent="0.25">
      <c r="A178" s="1"/>
      <c r="B178" s="7"/>
      <c r="C178" s="10"/>
      <c r="D178" s="10"/>
      <c r="E178" s="10"/>
      <c r="F178" s="10"/>
      <c r="G178" s="7"/>
      <c r="H178" s="1"/>
    </row>
    <row r="179" spans="1:8" x14ac:dyDescent="0.25">
      <c r="A179" s="3" t="s">
        <v>36</v>
      </c>
      <c r="B179" s="10"/>
      <c r="C179" s="10"/>
      <c r="D179" s="10"/>
      <c r="E179" s="10"/>
      <c r="F179" s="10"/>
      <c r="G179" s="10"/>
      <c r="H179" s="2" t="s">
        <v>79</v>
      </c>
    </row>
    <row r="180" spans="1:8" x14ac:dyDescent="0.25">
      <c r="A180" s="3" t="s">
        <v>80</v>
      </c>
      <c r="B180" s="10"/>
      <c r="C180" s="10"/>
      <c r="D180" s="10"/>
      <c r="E180" s="10"/>
      <c r="F180" s="10"/>
      <c r="G180" s="10"/>
      <c r="H180" s="3"/>
    </row>
    <row r="181" spans="1:8" x14ac:dyDescent="0.25">
      <c r="A181" s="3" t="s">
        <v>81</v>
      </c>
      <c r="B181" s="11">
        <v>25</v>
      </c>
      <c r="C181" s="10">
        <f>B181*11.5/100</f>
        <v>2.875</v>
      </c>
      <c r="D181" s="10">
        <f>B181*3.3/100</f>
        <v>0.82499999999999996</v>
      </c>
      <c r="E181" s="10">
        <f>B181*66.5/100</f>
        <v>16.625</v>
      </c>
      <c r="F181" s="10">
        <f>B181*348/100</f>
        <v>87</v>
      </c>
      <c r="G181" s="10"/>
      <c r="H181" s="3"/>
    </row>
    <row r="182" spans="1:8" x14ac:dyDescent="0.25">
      <c r="A182" s="3" t="s">
        <v>7</v>
      </c>
      <c r="B182" s="10">
        <v>100</v>
      </c>
      <c r="C182" s="10">
        <f>B182*2.8/100</f>
        <v>2.8</v>
      </c>
      <c r="D182" s="10">
        <f>B182*3.5/100</f>
        <v>3.5</v>
      </c>
      <c r="E182" s="10">
        <f t="shared" ref="E182:E237" si="16">B182*66.5/100</f>
        <v>66.5</v>
      </c>
      <c r="F182" s="10">
        <f>B182*61/100</f>
        <v>61</v>
      </c>
      <c r="G182" s="10"/>
      <c r="H182" s="3"/>
    </row>
    <row r="183" spans="1:8" x14ac:dyDescent="0.25">
      <c r="A183" s="3" t="s">
        <v>9</v>
      </c>
      <c r="B183" s="11">
        <v>5</v>
      </c>
      <c r="C183" s="10">
        <f>B183*0/100</f>
        <v>0</v>
      </c>
      <c r="D183" s="10">
        <f>B183*0/100</f>
        <v>0</v>
      </c>
      <c r="E183" s="10">
        <f t="shared" si="16"/>
        <v>3.3250000000000002</v>
      </c>
      <c r="F183" s="10">
        <f t="shared" si="15"/>
        <v>18.95</v>
      </c>
      <c r="G183" s="10"/>
      <c r="H183" s="3"/>
    </row>
    <row r="184" spans="1:8" x14ac:dyDescent="0.25">
      <c r="A184" s="3" t="s">
        <v>8</v>
      </c>
      <c r="B184" s="11">
        <v>3</v>
      </c>
      <c r="C184" s="10">
        <f>B184*0.7/100</f>
        <v>2.0999999999999998E-2</v>
      </c>
      <c r="D184" s="10">
        <f>B184*72.5/100</f>
        <v>2.1749999999999998</v>
      </c>
      <c r="E184" s="10">
        <f t="shared" si="16"/>
        <v>1.9950000000000001</v>
      </c>
      <c r="F184" s="10">
        <f>B184*709/100</f>
        <v>21.27</v>
      </c>
      <c r="G184" s="10"/>
      <c r="H184" s="3"/>
    </row>
    <row r="185" spans="1:8" x14ac:dyDescent="0.25">
      <c r="A185" s="2" t="s">
        <v>14</v>
      </c>
      <c r="B185" s="5"/>
      <c r="C185" s="5">
        <f>C181+C182+C183+C184</f>
        <v>5.6959999999999997</v>
      </c>
      <c r="D185" s="5">
        <f>D181+D182+D183+D184</f>
        <v>6.5</v>
      </c>
      <c r="E185" s="5">
        <f>E181+E182+E183+E184</f>
        <v>88.445000000000007</v>
      </c>
      <c r="F185" s="5">
        <f>F181+F182+F183+F184</f>
        <v>188.22</v>
      </c>
      <c r="G185" s="5">
        <v>200</v>
      </c>
      <c r="H185" s="3"/>
    </row>
    <row r="186" spans="1:8" x14ac:dyDescent="0.25">
      <c r="A186" s="3" t="s">
        <v>82</v>
      </c>
      <c r="B186" s="10"/>
      <c r="C186" s="10"/>
      <c r="D186" s="10"/>
      <c r="E186" s="10"/>
      <c r="F186" s="10"/>
      <c r="G186" s="10"/>
      <c r="H186" s="3"/>
    </row>
    <row r="187" spans="1:8" x14ac:dyDescent="0.25">
      <c r="A187" s="3" t="s">
        <v>83</v>
      </c>
      <c r="B187" s="11">
        <v>0.3</v>
      </c>
      <c r="C187" s="10">
        <f>B187*0/100</f>
        <v>0</v>
      </c>
      <c r="D187" s="10">
        <f>B187*0/100</f>
        <v>0</v>
      </c>
      <c r="E187" s="10">
        <f>B187*0/100</f>
        <v>0</v>
      </c>
      <c r="F187" s="10">
        <f>B187*0/100</f>
        <v>0</v>
      </c>
      <c r="G187" s="10"/>
      <c r="H187" s="3"/>
    </row>
    <row r="188" spans="1:8" x14ac:dyDescent="0.25">
      <c r="A188" s="3" t="s">
        <v>9</v>
      </c>
      <c r="B188" s="11">
        <v>8</v>
      </c>
      <c r="C188" s="10">
        <f>B188*0/100</f>
        <v>0</v>
      </c>
      <c r="D188" s="10">
        <f>B188*0/100</f>
        <v>0</v>
      </c>
      <c r="E188" s="10">
        <f>B188*99.8/100</f>
        <v>7.984</v>
      </c>
      <c r="F188" s="10">
        <f t="shared" si="15"/>
        <v>30.32</v>
      </c>
      <c r="G188" s="10"/>
      <c r="H188" s="3"/>
    </row>
    <row r="189" spans="1:8" x14ac:dyDescent="0.25">
      <c r="A189" s="3" t="s">
        <v>84</v>
      </c>
      <c r="B189" s="11">
        <v>8</v>
      </c>
      <c r="C189" s="10">
        <f>B189*0.9/100</f>
        <v>7.2000000000000008E-2</v>
      </c>
      <c r="D189" s="10">
        <f>B189*0/100</f>
        <v>0</v>
      </c>
      <c r="E189" s="10">
        <f>B189*3/100</f>
        <v>0.24</v>
      </c>
      <c r="F189" s="10">
        <f>B189*33/100</f>
        <v>2.64</v>
      </c>
      <c r="G189" s="10"/>
      <c r="H189" s="3"/>
    </row>
    <row r="190" spans="1:8" x14ac:dyDescent="0.25">
      <c r="A190" s="2" t="s">
        <v>14</v>
      </c>
      <c r="B190" s="5"/>
      <c r="C190" s="5">
        <f>C187+C188+C189</f>
        <v>7.2000000000000008E-2</v>
      </c>
      <c r="D190" s="5">
        <f>D187+D188+D189</f>
        <v>0</v>
      </c>
      <c r="E190" s="5">
        <f>E188+E189</f>
        <v>8.2240000000000002</v>
      </c>
      <c r="F190" s="5">
        <f>F188+F189</f>
        <v>32.96</v>
      </c>
      <c r="G190" s="5">
        <v>200</v>
      </c>
      <c r="H190" s="3"/>
    </row>
    <row r="191" spans="1:8" x14ac:dyDescent="0.25">
      <c r="A191" s="3" t="s">
        <v>12</v>
      </c>
      <c r="B191" s="11">
        <v>40</v>
      </c>
      <c r="C191" s="10">
        <f>B191*7.7/100</f>
        <v>3.08</v>
      </c>
      <c r="D191" s="10">
        <f>B191*3.5/100</f>
        <v>1.4</v>
      </c>
      <c r="E191" s="10">
        <f>B191*49.8/100</f>
        <v>19.920000000000002</v>
      </c>
      <c r="F191" s="10">
        <f>B191*262/100</f>
        <v>104.8</v>
      </c>
      <c r="G191" s="5">
        <v>40</v>
      </c>
      <c r="H191" s="3"/>
    </row>
    <row r="192" spans="1:8" x14ac:dyDescent="0.25">
      <c r="A192" s="3" t="s">
        <v>8</v>
      </c>
      <c r="B192" s="11">
        <v>8</v>
      </c>
      <c r="C192" s="10">
        <f>B192*7/100</f>
        <v>0.56000000000000005</v>
      </c>
      <c r="D192" s="10">
        <f>B192*72.5/100</f>
        <v>5.8</v>
      </c>
      <c r="E192" s="10">
        <f>B192*1/100</f>
        <v>0.08</v>
      </c>
      <c r="F192" s="10">
        <f>B192*709/100</f>
        <v>56.72</v>
      </c>
      <c r="G192" s="5">
        <v>8</v>
      </c>
      <c r="H192" s="3"/>
    </row>
    <row r="193" spans="1:8" x14ac:dyDescent="0.25">
      <c r="A193" s="3" t="s">
        <v>13</v>
      </c>
      <c r="B193" s="11">
        <v>11</v>
      </c>
      <c r="C193" s="10">
        <f>B193*23/100</f>
        <v>2.5299999999999998</v>
      </c>
      <c r="D193" s="10">
        <f>B193*29/100</f>
        <v>3.19</v>
      </c>
      <c r="E193" s="10">
        <f>B193*0/100</f>
        <v>0</v>
      </c>
      <c r="F193" s="10">
        <f>B193*360/100</f>
        <v>39.6</v>
      </c>
      <c r="G193" s="5">
        <v>10</v>
      </c>
      <c r="H193" s="3"/>
    </row>
    <row r="194" spans="1:8" x14ac:dyDescent="0.25">
      <c r="A194" s="2" t="s">
        <v>14</v>
      </c>
      <c r="B194" s="5"/>
      <c r="C194" s="5">
        <f>C191+C192+C193</f>
        <v>6.17</v>
      </c>
      <c r="D194" s="5">
        <f>D191+D192+D193</f>
        <v>10.389999999999999</v>
      </c>
      <c r="E194" s="5">
        <f>E191+E192+E193</f>
        <v>20</v>
      </c>
      <c r="F194" s="5">
        <f>F191+F192+F193</f>
        <v>201.11999999999998</v>
      </c>
      <c r="G194" s="5">
        <v>458</v>
      </c>
      <c r="H194" s="3"/>
    </row>
    <row r="195" spans="1:8" x14ac:dyDescent="0.25">
      <c r="A195" s="2" t="s">
        <v>75</v>
      </c>
      <c r="B195" s="5"/>
      <c r="C195" s="5">
        <f>C185+C190+C194</f>
        <v>11.937999999999999</v>
      </c>
      <c r="D195" s="5">
        <f>D185+D194</f>
        <v>16.89</v>
      </c>
      <c r="E195" s="5">
        <f>E185+E190+E194</f>
        <v>116.66900000000001</v>
      </c>
      <c r="F195" s="5">
        <f>F185+F190+F194</f>
        <v>422.29999999999995</v>
      </c>
      <c r="G195" s="10"/>
      <c r="H195" s="3"/>
    </row>
    <row r="196" spans="1:8" x14ac:dyDescent="0.25">
      <c r="A196" s="3"/>
      <c r="B196" s="10"/>
      <c r="C196" s="10">
        <f t="shared" ref="C196:C250" si="17">B196*7.2/100</f>
        <v>0</v>
      </c>
      <c r="D196" s="10">
        <f t="shared" ref="D196:D250" si="18">B196*8.5/100</f>
        <v>0</v>
      </c>
      <c r="E196" s="10">
        <f t="shared" si="16"/>
        <v>0</v>
      </c>
      <c r="F196" s="10">
        <f t="shared" ref="F196:F250" si="19">B196*379/100</f>
        <v>0</v>
      </c>
      <c r="G196" s="10"/>
      <c r="H196" s="3"/>
    </row>
    <row r="197" spans="1:8" x14ac:dyDescent="0.25">
      <c r="A197" s="2" t="s">
        <v>190</v>
      </c>
      <c r="B197" s="5">
        <v>120</v>
      </c>
      <c r="C197" s="5">
        <f>B197*5/100</f>
        <v>6</v>
      </c>
      <c r="D197" s="5">
        <f>B197*1.5/100</f>
        <v>1.8</v>
      </c>
      <c r="E197" s="5">
        <f>B197*8.5/100</f>
        <v>10.199999999999999</v>
      </c>
      <c r="F197" s="5">
        <f>B197*70/100</f>
        <v>84</v>
      </c>
      <c r="G197" s="5">
        <v>120</v>
      </c>
      <c r="H197" s="3"/>
    </row>
    <row r="198" spans="1:8" x14ac:dyDescent="0.25">
      <c r="A198" s="3" t="s">
        <v>85</v>
      </c>
      <c r="B198" s="10"/>
      <c r="C198" s="10"/>
      <c r="D198" s="10"/>
      <c r="E198" s="10"/>
      <c r="F198" s="10"/>
      <c r="G198" s="10"/>
      <c r="H198" s="3"/>
    </row>
    <row r="199" spans="1:8" x14ac:dyDescent="0.25">
      <c r="A199" s="3" t="s">
        <v>41</v>
      </c>
      <c r="B199" s="11">
        <v>30</v>
      </c>
      <c r="C199" s="10">
        <f>B199*18.6/100</f>
        <v>5.58</v>
      </c>
      <c r="D199" s="10">
        <f>B199*16/100</f>
        <v>4.8</v>
      </c>
      <c r="E199" s="10">
        <f>B199*0/100</f>
        <v>0</v>
      </c>
      <c r="F199" s="10">
        <f>B199*218/100</f>
        <v>65.400000000000006</v>
      </c>
      <c r="G199" s="10"/>
      <c r="H199" s="3"/>
    </row>
    <row r="200" spans="1:8" x14ac:dyDescent="0.25">
      <c r="A200" s="3" t="s">
        <v>15</v>
      </c>
      <c r="B200" s="11">
        <v>50</v>
      </c>
      <c r="C200" s="10">
        <f>B200*2/100</f>
        <v>1</v>
      </c>
      <c r="D200" s="10">
        <f>B200*0.4/100</f>
        <v>0.2</v>
      </c>
      <c r="E200" s="10">
        <f>B200*17.3/100</f>
        <v>8.65</v>
      </c>
      <c r="F200" s="10">
        <f>B200*80/100</f>
        <v>40</v>
      </c>
      <c r="G200" s="10"/>
      <c r="H200" s="3"/>
    </row>
    <row r="201" spans="1:8" x14ac:dyDescent="0.25">
      <c r="A201" s="3" t="s">
        <v>26</v>
      </c>
      <c r="B201" s="11">
        <v>50</v>
      </c>
      <c r="C201" s="10">
        <f>B201*1.8/100</f>
        <v>0.9</v>
      </c>
      <c r="D201" s="10">
        <f>B201*0.1/100</f>
        <v>0.05</v>
      </c>
      <c r="E201" s="10">
        <f>B201*4.7/100</f>
        <v>2.35</v>
      </c>
      <c r="F201" s="10">
        <f>B201*27/100</f>
        <v>13.5</v>
      </c>
      <c r="G201" s="10"/>
      <c r="H201" s="3"/>
    </row>
    <row r="202" spans="1:8" x14ac:dyDescent="0.25">
      <c r="A202" s="3" t="s">
        <v>20</v>
      </c>
      <c r="B202" s="11">
        <v>11</v>
      </c>
      <c r="C202" s="10">
        <f>B202*1.4/100</f>
        <v>0.154</v>
      </c>
      <c r="D202" s="10">
        <f>B202*0/100</f>
        <v>0</v>
      </c>
      <c r="E202" s="10">
        <f>B202*9.1/100</f>
        <v>1.0009999999999999</v>
      </c>
      <c r="F202" s="10">
        <f>B202*41/100</f>
        <v>4.51</v>
      </c>
      <c r="G202" s="10"/>
      <c r="H202" s="3"/>
    </row>
    <row r="203" spans="1:8" x14ac:dyDescent="0.25">
      <c r="A203" s="3" t="s">
        <v>16</v>
      </c>
      <c r="B203" s="11">
        <v>11</v>
      </c>
      <c r="C203" s="10">
        <f>B203*1.3/100</f>
        <v>0.14300000000000002</v>
      </c>
      <c r="D203" s="10">
        <f>B203*0.1/100</f>
        <v>1.1000000000000001E-2</v>
      </c>
      <c r="E203" s="10">
        <f>B203*8.4/100</f>
        <v>0.92400000000000004</v>
      </c>
      <c r="F203" s="10">
        <f>B203*34/100</f>
        <v>3.74</v>
      </c>
      <c r="G203" s="10"/>
      <c r="H203" s="3"/>
    </row>
    <row r="204" spans="1:8" x14ac:dyDescent="0.25">
      <c r="A204" s="3" t="s">
        <v>28</v>
      </c>
      <c r="B204" s="11">
        <v>4</v>
      </c>
      <c r="C204" s="10">
        <f>B204*4.8/100</f>
        <v>0.192</v>
      </c>
      <c r="D204" s="10">
        <f>B204*0/100</f>
        <v>0</v>
      </c>
      <c r="E204" s="10">
        <f>B204*19/100</f>
        <v>0.76</v>
      </c>
      <c r="F204" s="10">
        <f>B204*99/100</f>
        <v>3.96</v>
      </c>
      <c r="G204" s="10"/>
      <c r="H204" s="3"/>
    </row>
    <row r="205" spans="1:8" x14ac:dyDescent="0.25">
      <c r="A205" s="3" t="s">
        <v>8</v>
      </c>
      <c r="B205" s="11">
        <v>2</v>
      </c>
      <c r="C205" s="10">
        <f>B205*0.7/100</f>
        <v>1.3999999999999999E-2</v>
      </c>
      <c r="D205" s="10">
        <f>B205*72.5/100</f>
        <v>1.45</v>
      </c>
      <c r="E205" s="10">
        <f>B205*1/100</f>
        <v>0.02</v>
      </c>
      <c r="F205" s="10">
        <f>B205*709/100</f>
        <v>14.18</v>
      </c>
      <c r="G205" s="10"/>
      <c r="H205" s="3"/>
    </row>
    <row r="206" spans="1:8" x14ac:dyDescent="0.25">
      <c r="A206" s="3" t="s">
        <v>44</v>
      </c>
      <c r="B206" s="11">
        <v>5</v>
      </c>
      <c r="C206" s="10">
        <f>B206*2.8/100</f>
        <v>0.14000000000000001</v>
      </c>
      <c r="D206" s="10">
        <f>B206*15/100</f>
        <v>0.75</v>
      </c>
      <c r="E206" s="10">
        <f>B206*3.2/100</f>
        <v>0.16</v>
      </c>
      <c r="F206" s="10">
        <f>B206*206/100</f>
        <v>10.3</v>
      </c>
      <c r="G206" s="10"/>
      <c r="H206" s="3"/>
    </row>
    <row r="207" spans="1:8" x14ac:dyDescent="0.25">
      <c r="A207" s="2" t="s">
        <v>14</v>
      </c>
      <c r="B207" s="5"/>
      <c r="C207" s="5">
        <f>C199+C200+C201+C202+C203+C204+C205+C206</f>
        <v>8.1230000000000011</v>
      </c>
      <c r="D207" s="5">
        <f>D199+D200+D201+D202+D203+D204+D205+D206</f>
        <v>7.2610000000000001</v>
      </c>
      <c r="E207" s="5">
        <f>E199+E200+E201+E202+E203+E204+E205+E206</f>
        <v>13.864999999999998</v>
      </c>
      <c r="F207" s="5">
        <f>F199+F200+F201+F202+F203+F204+F205</f>
        <v>145.29000000000002</v>
      </c>
      <c r="G207" s="5" t="s">
        <v>94</v>
      </c>
      <c r="H207" s="3"/>
    </row>
    <row r="208" spans="1:8" x14ac:dyDescent="0.25">
      <c r="A208" s="3"/>
      <c r="B208" s="10"/>
      <c r="C208" s="10"/>
      <c r="D208" s="10"/>
      <c r="E208" s="10"/>
      <c r="F208" s="10"/>
      <c r="G208" s="10"/>
      <c r="H208" s="3"/>
    </row>
    <row r="209" spans="1:8" x14ac:dyDescent="0.25">
      <c r="A209" s="3" t="s">
        <v>41</v>
      </c>
      <c r="B209" s="11">
        <v>60</v>
      </c>
      <c r="C209" s="10">
        <f>B209*18.6/100</f>
        <v>11.16</v>
      </c>
      <c r="D209" s="10">
        <f>B209*16/100</f>
        <v>9.6</v>
      </c>
      <c r="E209" s="10">
        <f>B209*0/100</f>
        <v>0</v>
      </c>
      <c r="F209" s="10">
        <f>B209*218/100</f>
        <v>130.80000000000001</v>
      </c>
      <c r="G209" s="10"/>
      <c r="H209" s="3"/>
    </row>
    <row r="210" spans="1:8" x14ac:dyDescent="0.25">
      <c r="A210" s="3" t="s">
        <v>66</v>
      </c>
      <c r="B210" s="11">
        <v>40</v>
      </c>
      <c r="C210" s="10">
        <f>B210*7/100</f>
        <v>2.8</v>
      </c>
      <c r="D210" s="10">
        <f>B210*1/100</f>
        <v>0.4</v>
      </c>
      <c r="E210" s="10">
        <f>B210*71.4/100</f>
        <v>28.56</v>
      </c>
      <c r="F210" s="10">
        <f>B210*330/100</f>
        <v>132</v>
      </c>
      <c r="G210" s="10"/>
      <c r="H210" s="3"/>
    </row>
    <row r="211" spans="1:8" x14ac:dyDescent="0.25">
      <c r="A211" s="3" t="s">
        <v>20</v>
      </c>
      <c r="B211" s="11">
        <v>11</v>
      </c>
      <c r="C211" s="10">
        <f>B211*1.4/100</f>
        <v>0.154</v>
      </c>
      <c r="D211" s="10">
        <f>B211*0/100</f>
        <v>0</v>
      </c>
      <c r="E211" s="10">
        <f>B211*9.1/100</f>
        <v>1.0009999999999999</v>
      </c>
      <c r="F211" s="10">
        <f>B211*41/100</f>
        <v>4.51</v>
      </c>
      <c r="G211" s="10"/>
      <c r="H211" s="3"/>
    </row>
    <row r="212" spans="1:8" x14ac:dyDescent="0.25">
      <c r="A212" s="3" t="s">
        <v>16</v>
      </c>
      <c r="B212" s="11">
        <v>11</v>
      </c>
      <c r="C212" s="10">
        <f>B212*1.3/100</f>
        <v>0.14300000000000002</v>
      </c>
      <c r="D212" s="10">
        <f>B212*0/100</f>
        <v>0</v>
      </c>
      <c r="E212" s="10">
        <f>B212*8.4/100</f>
        <v>0.92400000000000004</v>
      </c>
      <c r="F212" s="10">
        <f>B212*34/100</f>
        <v>3.74</v>
      </c>
      <c r="G212" s="10"/>
      <c r="H212" s="3"/>
    </row>
    <row r="213" spans="1:8" x14ac:dyDescent="0.25">
      <c r="A213" s="3" t="s">
        <v>28</v>
      </c>
      <c r="B213" s="11">
        <v>6</v>
      </c>
      <c r="C213" s="10">
        <f>B213*4.8/100</f>
        <v>0.28799999999999998</v>
      </c>
      <c r="D213" s="10">
        <f>B213*0/100</f>
        <v>0</v>
      </c>
      <c r="E213" s="10">
        <f>B213*19/100</f>
        <v>1.1399999999999999</v>
      </c>
      <c r="F213" s="10">
        <f>B213*99/100</f>
        <v>5.94</v>
      </c>
      <c r="G213" s="10"/>
      <c r="H213" s="3"/>
    </row>
    <row r="214" spans="1:8" x14ac:dyDescent="0.25">
      <c r="A214" s="3" t="s">
        <v>8</v>
      </c>
      <c r="B214" s="11">
        <v>2</v>
      </c>
      <c r="C214" s="10">
        <f>B214*0.7/100</f>
        <v>1.3999999999999999E-2</v>
      </c>
      <c r="D214" s="10">
        <f>B214*72.5/100</f>
        <v>1.45</v>
      </c>
      <c r="E214" s="10">
        <f>B214*1/100</f>
        <v>0.02</v>
      </c>
      <c r="F214" s="10">
        <f>B214*709/100</f>
        <v>14.18</v>
      </c>
      <c r="G214" s="10"/>
      <c r="H214" s="3"/>
    </row>
    <row r="215" spans="1:8" x14ac:dyDescent="0.25">
      <c r="A215" s="2" t="s">
        <v>14</v>
      </c>
      <c r="B215" s="5"/>
      <c r="C215" s="5">
        <f>C209+C210+C211+C212+C213+C214</f>
        <v>14.559000000000001</v>
      </c>
      <c r="D215" s="5">
        <f>D209+D210+D211+D212+D213+D214</f>
        <v>11.45</v>
      </c>
      <c r="E215" s="5">
        <f>E209+E210+E211+E212+E213+E214</f>
        <v>31.645</v>
      </c>
      <c r="F215" s="5">
        <f>F209+F210+F211+F212+F213+F214</f>
        <v>291.17</v>
      </c>
      <c r="G215" s="5">
        <v>150</v>
      </c>
      <c r="H215" s="3"/>
    </row>
    <row r="216" spans="1:8" x14ac:dyDescent="0.25">
      <c r="A216" s="3" t="s">
        <v>87</v>
      </c>
      <c r="B216" s="10"/>
      <c r="C216" s="10"/>
      <c r="D216" s="10"/>
      <c r="E216" s="10"/>
      <c r="F216" s="10"/>
      <c r="G216" s="5"/>
      <c r="H216" s="3"/>
    </row>
    <row r="217" spans="1:8" x14ac:dyDescent="0.25">
      <c r="A217" s="3" t="s">
        <v>88</v>
      </c>
      <c r="B217" s="10">
        <v>8</v>
      </c>
      <c r="C217" s="10">
        <f>B217*3.4/100</f>
        <v>0.27200000000000002</v>
      </c>
      <c r="D217" s="10">
        <f>B217*0/100</f>
        <v>0</v>
      </c>
      <c r="E217" s="10">
        <f>B217*21.5/100</f>
        <v>1.72</v>
      </c>
      <c r="F217" s="10">
        <f>B217*110/100</f>
        <v>8.8000000000000007</v>
      </c>
      <c r="G217" s="5"/>
      <c r="H217" s="3"/>
    </row>
    <row r="218" spans="1:8" x14ac:dyDescent="0.25">
      <c r="A218" s="3" t="s">
        <v>9</v>
      </c>
      <c r="B218" s="10">
        <v>8</v>
      </c>
      <c r="C218" s="10">
        <f>B218*0/100</f>
        <v>0</v>
      </c>
      <c r="D218" s="10">
        <f>B218*0/100</f>
        <v>0</v>
      </c>
      <c r="E218" s="10">
        <f>B218*99.8/100</f>
        <v>7.984</v>
      </c>
      <c r="F218" s="10">
        <f t="shared" si="19"/>
        <v>30.32</v>
      </c>
      <c r="G218" s="5"/>
      <c r="H218" s="3"/>
    </row>
    <row r="219" spans="1:8" x14ac:dyDescent="0.25">
      <c r="A219" s="2" t="s">
        <v>14</v>
      </c>
      <c r="B219" s="5"/>
      <c r="C219" s="5">
        <f>C217+C218</f>
        <v>0.27200000000000002</v>
      </c>
      <c r="D219" s="5">
        <f t="shared" si="18"/>
        <v>0</v>
      </c>
      <c r="E219" s="5">
        <f>E217+E218</f>
        <v>9.7040000000000006</v>
      </c>
      <c r="F219" s="5">
        <f>F216+F217+F218</f>
        <v>39.120000000000005</v>
      </c>
      <c r="G219" s="5">
        <v>200</v>
      </c>
      <c r="H219" s="3"/>
    </row>
    <row r="220" spans="1:8" x14ac:dyDescent="0.25">
      <c r="A220" s="3" t="s">
        <v>32</v>
      </c>
      <c r="B220" s="10">
        <v>40</v>
      </c>
      <c r="C220" s="10">
        <f>B220*7.7/100</f>
        <v>3.08</v>
      </c>
      <c r="D220" s="10">
        <f>B220*3/100</f>
        <v>1.2</v>
      </c>
      <c r="E220" s="10">
        <f>B220*49.8/100</f>
        <v>19.920000000000002</v>
      </c>
      <c r="F220" s="10">
        <f>B220*262/100</f>
        <v>104.8</v>
      </c>
      <c r="G220" s="5">
        <v>40</v>
      </c>
      <c r="H220" s="3"/>
    </row>
    <row r="221" spans="1:8" x14ac:dyDescent="0.25">
      <c r="A221" s="3" t="s">
        <v>12</v>
      </c>
      <c r="B221" s="10">
        <v>35</v>
      </c>
      <c r="C221" s="10">
        <f>B221*6.6/100</f>
        <v>2.31</v>
      </c>
      <c r="D221" s="10">
        <f>B221*1.2/100</f>
        <v>0.42</v>
      </c>
      <c r="E221" s="10">
        <f>B221*34.2/100</f>
        <v>11.97</v>
      </c>
      <c r="F221" s="10">
        <f>B221*181/100</f>
        <v>63.35</v>
      </c>
      <c r="G221" s="5">
        <v>35</v>
      </c>
      <c r="H221" s="3"/>
    </row>
    <row r="222" spans="1:8" x14ac:dyDescent="0.25">
      <c r="A222" s="2" t="s">
        <v>14</v>
      </c>
      <c r="B222" s="5"/>
      <c r="C222" s="5">
        <f>C220+C221</f>
        <v>5.3900000000000006</v>
      </c>
      <c r="D222" s="5">
        <f>D220+D221</f>
        <v>1.6199999999999999</v>
      </c>
      <c r="E222" s="5">
        <f>E220+E221</f>
        <v>31.89</v>
      </c>
      <c r="F222" s="5">
        <f>F220+F221</f>
        <v>168.15</v>
      </c>
      <c r="G222" s="5"/>
      <c r="H222" s="3"/>
    </row>
    <row r="223" spans="1:8" x14ac:dyDescent="0.25">
      <c r="A223" s="3" t="s">
        <v>90</v>
      </c>
      <c r="B223" s="10"/>
      <c r="C223" s="10">
        <f t="shared" si="17"/>
        <v>0</v>
      </c>
      <c r="D223" s="10">
        <f t="shared" si="18"/>
        <v>0</v>
      </c>
      <c r="E223" s="10">
        <f t="shared" si="16"/>
        <v>0</v>
      </c>
      <c r="F223" s="10">
        <f t="shared" si="19"/>
        <v>0</v>
      </c>
      <c r="G223" s="5"/>
      <c r="H223" s="3"/>
    </row>
    <row r="224" spans="1:8" x14ac:dyDescent="0.25">
      <c r="A224" s="3" t="s">
        <v>42</v>
      </c>
      <c r="B224" s="10">
        <v>60</v>
      </c>
      <c r="C224" s="10">
        <f>B224*1.5/100</f>
        <v>0.9</v>
      </c>
      <c r="D224" s="10">
        <f>B224*0.1/100</f>
        <v>0.06</v>
      </c>
      <c r="E224" s="10">
        <f>B224*10/100</f>
        <v>6</v>
      </c>
      <c r="F224" s="10">
        <f>B224*42/100</f>
        <v>25.2</v>
      </c>
      <c r="G224" s="5"/>
      <c r="H224" s="3"/>
    </row>
    <row r="225" spans="1:8" x14ac:dyDescent="0.25">
      <c r="A225" s="3" t="s">
        <v>57</v>
      </c>
      <c r="B225" s="10">
        <v>5</v>
      </c>
      <c r="C225" s="10">
        <f>B225*0/100</f>
        <v>0</v>
      </c>
      <c r="D225" s="10">
        <f>B225*99.9/100</f>
        <v>4.9950000000000001</v>
      </c>
      <c r="E225" s="10">
        <f>B225*0/100</f>
        <v>0</v>
      </c>
      <c r="F225" s="10">
        <f>B225*899/100</f>
        <v>44.95</v>
      </c>
      <c r="G225" s="5"/>
      <c r="H225" s="3"/>
    </row>
    <row r="226" spans="1:8" x14ac:dyDescent="0.25">
      <c r="A226" s="2" t="s">
        <v>91</v>
      </c>
      <c r="B226" s="5"/>
      <c r="C226" s="5">
        <f>C224+C225</f>
        <v>0.9</v>
      </c>
      <c r="D226" s="5">
        <f>D224+D225</f>
        <v>5.0549999999999997</v>
      </c>
      <c r="E226" s="5">
        <f>E224+E225</f>
        <v>6</v>
      </c>
      <c r="F226" s="5">
        <f>F224+F225</f>
        <v>70.150000000000006</v>
      </c>
      <c r="G226" s="5">
        <v>50</v>
      </c>
      <c r="H226" s="3"/>
    </row>
    <row r="227" spans="1:8" x14ac:dyDescent="0.25">
      <c r="A227" s="2" t="s">
        <v>76</v>
      </c>
      <c r="B227" s="5"/>
      <c r="C227" s="5">
        <f>C207+C215+C219+C222+C226</f>
        <v>29.244</v>
      </c>
      <c r="D227" s="5">
        <f>D207+D215+D222+D226</f>
        <v>25.385999999999999</v>
      </c>
      <c r="E227" s="5">
        <f>E207+E215+E219+E222+E226</f>
        <v>93.103999999999999</v>
      </c>
      <c r="F227" s="5">
        <f>F207+F215+F222+F226</f>
        <v>674.76</v>
      </c>
      <c r="G227" s="5">
        <v>700</v>
      </c>
      <c r="H227" s="3"/>
    </row>
    <row r="228" spans="1:8" x14ac:dyDescent="0.25">
      <c r="A228" s="3"/>
      <c r="B228" s="10"/>
      <c r="C228" s="10"/>
      <c r="D228" s="10"/>
      <c r="E228" s="10"/>
      <c r="F228" s="10"/>
      <c r="G228" s="10"/>
      <c r="H228" s="3"/>
    </row>
    <row r="229" spans="1:8" x14ac:dyDescent="0.25">
      <c r="A229" s="15" t="s">
        <v>92</v>
      </c>
      <c r="B229" s="16"/>
      <c r="C229" s="16">
        <v>41.795999999999999</v>
      </c>
      <c r="D229" s="16">
        <v>44.225999999999999</v>
      </c>
      <c r="E229" s="16">
        <v>224.04300000000001</v>
      </c>
      <c r="F229" s="16">
        <f>F195+F197+F227</f>
        <v>1181.06</v>
      </c>
      <c r="G229" s="10"/>
      <c r="H229" s="3"/>
    </row>
    <row r="230" spans="1:8" x14ac:dyDescent="0.25">
      <c r="A230" s="1" t="s">
        <v>36</v>
      </c>
      <c r="B230" s="7"/>
      <c r="C230" s="10"/>
      <c r="D230" s="10"/>
      <c r="E230" s="10"/>
      <c r="F230" s="10"/>
      <c r="G230" s="7"/>
      <c r="H230" s="2" t="s">
        <v>95</v>
      </c>
    </row>
    <row r="231" spans="1:8" x14ac:dyDescent="0.25">
      <c r="A231" s="1" t="s">
        <v>96</v>
      </c>
      <c r="B231" s="7"/>
      <c r="C231" s="10"/>
      <c r="D231" s="10"/>
      <c r="E231" s="10"/>
      <c r="F231" s="10"/>
      <c r="G231" s="7"/>
      <c r="H231" s="1"/>
    </row>
    <row r="232" spans="1:8" x14ac:dyDescent="0.25">
      <c r="A232" s="1" t="s">
        <v>21</v>
      </c>
      <c r="B232" s="8">
        <v>80</v>
      </c>
      <c r="C232" s="10">
        <f>B232*12.7/100</f>
        <v>10.16</v>
      </c>
      <c r="D232" s="10">
        <f>B232*11.5/100</f>
        <v>9.1999999999999993</v>
      </c>
      <c r="E232" s="10">
        <f>B232*0.7/100</f>
        <v>0.56000000000000005</v>
      </c>
      <c r="F232" s="10">
        <f>B232*157/100</f>
        <v>125.6</v>
      </c>
      <c r="G232" s="7"/>
      <c r="H232" s="1"/>
    </row>
    <row r="233" spans="1:8" x14ac:dyDescent="0.25">
      <c r="A233" s="1" t="s">
        <v>7</v>
      </c>
      <c r="B233" s="8">
        <v>70</v>
      </c>
      <c r="C233" s="10">
        <f>B233*2.8/100</f>
        <v>1.96</v>
      </c>
      <c r="D233" s="10">
        <f>B233*3.5/100</f>
        <v>2.4500000000000002</v>
      </c>
      <c r="E233" s="10">
        <f>B233*4.7/100</f>
        <v>3.29</v>
      </c>
      <c r="F233" s="10">
        <f>B233*61/100</f>
        <v>42.7</v>
      </c>
      <c r="G233" s="7"/>
      <c r="H233" s="1"/>
    </row>
    <row r="234" spans="1:8" x14ac:dyDescent="0.25">
      <c r="A234" s="1" t="s">
        <v>8</v>
      </c>
      <c r="B234" s="8">
        <v>3</v>
      </c>
      <c r="C234" s="10">
        <f>B234*0.7/100</f>
        <v>2.0999999999999998E-2</v>
      </c>
      <c r="D234" s="10">
        <f>B234*72.5/100</f>
        <v>2.1749999999999998</v>
      </c>
      <c r="E234" s="10">
        <f>B234*1/100</f>
        <v>0.03</v>
      </c>
      <c r="F234" s="10">
        <f>B234*709/100</f>
        <v>21.27</v>
      </c>
      <c r="G234" s="5"/>
      <c r="H234" s="1"/>
    </row>
    <row r="235" spans="1:8" x14ac:dyDescent="0.25">
      <c r="A235" s="2" t="s">
        <v>14</v>
      </c>
      <c r="B235" s="5"/>
      <c r="C235" s="5">
        <f>C232+C233+C234</f>
        <v>12.141000000000002</v>
      </c>
      <c r="D235" s="5">
        <f>D232+D233+D234</f>
        <v>13.824999999999999</v>
      </c>
      <c r="E235" s="5">
        <f>E232+E233+E234</f>
        <v>3.88</v>
      </c>
      <c r="F235" s="5">
        <f>F232+F233+F234</f>
        <v>189.57000000000002</v>
      </c>
      <c r="G235" s="5">
        <v>142</v>
      </c>
      <c r="H235" s="1"/>
    </row>
    <row r="236" spans="1:8" x14ac:dyDescent="0.25">
      <c r="A236" s="1" t="s">
        <v>97</v>
      </c>
      <c r="B236" s="8">
        <v>40</v>
      </c>
      <c r="C236" s="10">
        <f>B236*3.2/100</f>
        <v>1.28</v>
      </c>
      <c r="D236" s="10">
        <f>B236*0.2/100</f>
        <v>0.08</v>
      </c>
      <c r="E236" s="10">
        <f>B236*6.5/100</f>
        <v>2.6</v>
      </c>
      <c r="F236" s="10">
        <f>B236*40/100</f>
        <v>16</v>
      </c>
      <c r="G236" s="5">
        <v>25</v>
      </c>
      <c r="H236" s="1"/>
    </row>
    <row r="237" spans="1:8" x14ac:dyDescent="0.25">
      <c r="A237" s="1" t="s">
        <v>98</v>
      </c>
      <c r="B237" s="7"/>
      <c r="C237" s="10">
        <f t="shared" si="17"/>
        <v>0</v>
      </c>
      <c r="D237" s="10">
        <f t="shared" si="18"/>
        <v>0</v>
      </c>
      <c r="E237" s="10">
        <f t="shared" si="16"/>
        <v>0</v>
      </c>
      <c r="F237" s="10">
        <f t="shared" si="19"/>
        <v>0</v>
      </c>
      <c r="G237" s="5"/>
      <c r="H237" s="1"/>
    </row>
    <row r="238" spans="1:8" x14ac:dyDescent="0.25">
      <c r="A238" s="1" t="s">
        <v>39</v>
      </c>
      <c r="B238" s="8">
        <v>2</v>
      </c>
      <c r="C238" s="10">
        <f>B238*24.2/100</f>
        <v>0.48399999999999999</v>
      </c>
      <c r="D238" s="10">
        <f>B238*17.5/100</f>
        <v>0.35</v>
      </c>
      <c r="E238" s="10">
        <f>B238*27.9/100</f>
        <v>0.55799999999999994</v>
      </c>
      <c r="F238" s="10">
        <f>B238*373/100</f>
        <v>7.46</v>
      </c>
      <c r="G238" s="5"/>
      <c r="H238" s="1"/>
    </row>
    <row r="239" spans="1:8" x14ac:dyDescent="0.25">
      <c r="A239" s="1" t="s">
        <v>99</v>
      </c>
      <c r="B239" s="8">
        <v>100</v>
      </c>
      <c r="C239" s="10">
        <f>B239*2.8/100</f>
        <v>2.8</v>
      </c>
      <c r="D239" s="10">
        <f>B239*3.5/100</f>
        <v>3.5</v>
      </c>
      <c r="E239" s="10">
        <f>B239*4.7/100</f>
        <v>4.7</v>
      </c>
      <c r="F239" s="10">
        <f>B239*61/100</f>
        <v>61</v>
      </c>
      <c r="G239" s="5"/>
      <c r="H239" s="1"/>
    </row>
    <row r="240" spans="1:8" x14ac:dyDescent="0.25">
      <c r="A240" s="1" t="s">
        <v>9</v>
      </c>
      <c r="B240" s="8">
        <v>8</v>
      </c>
      <c r="C240" s="10">
        <f>B240*0/100</f>
        <v>0</v>
      </c>
      <c r="D240" s="10">
        <f>B240*0/100</f>
        <v>0</v>
      </c>
      <c r="E240" s="10">
        <f>B240*99.8/100</f>
        <v>7.984</v>
      </c>
      <c r="F240" s="10">
        <f t="shared" si="19"/>
        <v>30.32</v>
      </c>
      <c r="G240" s="5"/>
      <c r="H240" s="1"/>
    </row>
    <row r="241" spans="1:8" x14ac:dyDescent="0.25">
      <c r="A241" s="2" t="s">
        <v>74</v>
      </c>
      <c r="B241" s="5"/>
      <c r="C241" s="5">
        <f>C238+C239+C240</f>
        <v>3.2839999999999998</v>
      </c>
      <c r="D241" s="5">
        <f>D238+D239+D240</f>
        <v>3.85</v>
      </c>
      <c r="E241" s="5">
        <f>E238+E239+E240</f>
        <v>13.242000000000001</v>
      </c>
      <c r="F241" s="5">
        <f>F238+F239+F240</f>
        <v>98.78</v>
      </c>
      <c r="G241" s="5">
        <v>200</v>
      </c>
      <c r="H241" s="1"/>
    </row>
    <row r="242" spans="1:8" x14ac:dyDescent="0.25">
      <c r="A242" s="1" t="s">
        <v>12</v>
      </c>
      <c r="B242" s="7">
        <v>40</v>
      </c>
      <c r="C242" s="10">
        <f>B242*7.7/100</f>
        <v>3.08</v>
      </c>
      <c r="D242" s="10">
        <f>B242*3/100</f>
        <v>1.2</v>
      </c>
      <c r="E242" s="10">
        <f>B242*49.8/100</f>
        <v>19.920000000000002</v>
      </c>
      <c r="F242" s="10">
        <f>B242*262/100</f>
        <v>104.8</v>
      </c>
      <c r="G242" s="5">
        <v>40</v>
      </c>
      <c r="H242" s="1"/>
    </row>
    <row r="243" spans="1:8" x14ac:dyDescent="0.25">
      <c r="A243" s="1" t="s">
        <v>8</v>
      </c>
      <c r="B243" s="7">
        <v>8</v>
      </c>
      <c r="C243" s="10">
        <f>B243*0.7/100</f>
        <v>5.5999999999999994E-2</v>
      </c>
      <c r="D243" s="10">
        <f>B243*72.5/100</f>
        <v>5.8</v>
      </c>
      <c r="E243" s="10">
        <f>B243*1/100</f>
        <v>0.08</v>
      </c>
      <c r="F243" s="10">
        <f>B243*709/100</f>
        <v>56.72</v>
      </c>
      <c r="G243" s="5">
        <v>8</v>
      </c>
      <c r="H243" s="1"/>
    </row>
    <row r="244" spans="1:8" x14ac:dyDescent="0.25">
      <c r="A244" s="2" t="s">
        <v>189</v>
      </c>
      <c r="B244" s="9"/>
      <c r="C244" s="5">
        <f>C235+C236+C241+C242+C243</f>
        <v>19.841000000000005</v>
      </c>
      <c r="D244" s="5">
        <f>D235+D236+D241+D242+D243</f>
        <v>24.754999999999999</v>
      </c>
      <c r="E244" s="5">
        <f>E235+E236+E241+E242+E243</f>
        <v>39.722000000000001</v>
      </c>
      <c r="F244" s="5">
        <f>F235+F236+F241+F242+F243</f>
        <v>465.87</v>
      </c>
      <c r="G244" s="5">
        <v>415</v>
      </c>
      <c r="H244" s="1"/>
    </row>
    <row r="245" spans="1:8" x14ac:dyDescent="0.25">
      <c r="A245" s="1"/>
      <c r="B245" s="7"/>
      <c r="C245" s="10">
        <f t="shared" si="17"/>
        <v>0</v>
      </c>
      <c r="D245" s="10">
        <f t="shared" si="18"/>
        <v>0</v>
      </c>
      <c r="E245" s="10">
        <f t="shared" ref="E245:E299" si="20">B245*66.5/100</f>
        <v>0</v>
      </c>
      <c r="F245" s="10">
        <f t="shared" si="19"/>
        <v>0</v>
      </c>
      <c r="G245" s="7"/>
      <c r="H245" s="1"/>
    </row>
    <row r="246" spans="1:8" x14ac:dyDescent="0.25">
      <c r="A246" s="1" t="s">
        <v>100</v>
      </c>
      <c r="B246" s="7"/>
      <c r="C246" s="10">
        <f t="shared" si="17"/>
        <v>0</v>
      </c>
      <c r="D246" s="10">
        <f t="shared" si="18"/>
        <v>0</v>
      </c>
      <c r="E246" s="10">
        <f t="shared" si="20"/>
        <v>0</v>
      </c>
      <c r="F246" s="10">
        <f t="shared" si="19"/>
        <v>0</v>
      </c>
      <c r="G246" s="7"/>
      <c r="H246" s="1"/>
    </row>
    <row r="247" spans="1:8" x14ac:dyDescent="0.25">
      <c r="A247" s="2" t="s">
        <v>101</v>
      </c>
      <c r="B247" s="5">
        <v>120</v>
      </c>
      <c r="C247" s="5">
        <f>B247*0.4/100</f>
        <v>0.48</v>
      </c>
      <c r="D247" s="5">
        <f>B247*0.4/100</f>
        <v>0.48</v>
      </c>
      <c r="E247" s="5">
        <f>B247*9.8/100</f>
        <v>11.76</v>
      </c>
      <c r="F247" s="5">
        <f>B247*45/100</f>
        <v>54</v>
      </c>
      <c r="G247" s="5">
        <v>120</v>
      </c>
      <c r="H247" s="1"/>
    </row>
    <row r="248" spans="1:8" x14ac:dyDescent="0.25">
      <c r="A248" s="1"/>
      <c r="B248" s="7"/>
      <c r="C248" s="10">
        <f t="shared" si="17"/>
        <v>0</v>
      </c>
      <c r="D248" s="10">
        <f t="shared" si="18"/>
        <v>0</v>
      </c>
      <c r="E248" s="10">
        <f t="shared" si="20"/>
        <v>0</v>
      </c>
      <c r="F248" s="10">
        <f t="shared" si="19"/>
        <v>0</v>
      </c>
      <c r="G248" s="7"/>
      <c r="H248" s="1"/>
    </row>
    <row r="249" spans="1:8" x14ac:dyDescent="0.25">
      <c r="A249" s="1" t="s">
        <v>102</v>
      </c>
      <c r="B249" s="7"/>
      <c r="C249" s="10">
        <f t="shared" si="17"/>
        <v>0</v>
      </c>
      <c r="D249" s="10">
        <f t="shared" si="18"/>
        <v>0</v>
      </c>
      <c r="E249" s="10">
        <f t="shared" si="20"/>
        <v>0</v>
      </c>
      <c r="F249" s="10">
        <f t="shared" si="19"/>
        <v>0</v>
      </c>
      <c r="G249" s="7"/>
      <c r="H249" s="1"/>
    </row>
    <row r="250" spans="1:8" x14ac:dyDescent="0.25">
      <c r="A250" s="1" t="s">
        <v>103</v>
      </c>
      <c r="B250" s="7"/>
      <c r="C250" s="10">
        <f t="shared" si="17"/>
        <v>0</v>
      </c>
      <c r="D250" s="10">
        <f t="shared" si="18"/>
        <v>0</v>
      </c>
      <c r="E250" s="10">
        <f t="shared" si="20"/>
        <v>0</v>
      </c>
      <c r="F250" s="10">
        <f t="shared" si="19"/>
        <v>0</v>
      </c>
      <c r="G250" s="7"/>
      <c r="H250" s="1"/>
    </row>
    <row r="251" spans="1:8" x14ac:dyDescent="0.25">
      <c r="A251" s="1" t="s">
        <v>104</v>
      </c>
      <c r="B251" s="8">
        <v>30</v>
      </c>
      <c r="C251" s="10">
        <f>B251*20.9/100</f>
        <v>6.27</v>
      </c>
      <c r="D251" s="10">
        <f>B251*5.8/100</f>
        <v>1.74</v>
      </c>
      <c r="E251" s="10">
        <f>B251*0/100</f>
        <v>0</v>
      </c>
      <c r="F251" s="10">
        <f>B251*136/100</f>
        <v>40.799999999999997</v>
      </c>
      <c r="G251" s="7"/>
      <c r="H251" s="1"/>
    </row>
    <row r="252" spans="1:8" x14ac:dyDescent="0.25">
      <c r="A252" s="1" t="s">
        <v>15</v>
      </c>
      <c r="B252" s="8">
        <v>40</v>
      </c>
      <c r="C252" s="10">
        <f>B252*2/100</f>
        <v>0.8</v>
      </c>
      <c r="D252" s="10">
        <f>B252*0.4/100</f>
        <v>0.16</v>
      </c>
      <c r="E252" s="10">
        <f>B252*17.3/100</f>
        <v>6.92</v>
      </c>
      <c r="F252" s="10">
        <f>B252*80/100</f>
        <v>32</v>
      </c>
      <c r="G252" s="7"/>
      <c r="H252" s="1"/>
    </row>
    <row r="253" spans="1:8" x14ac:dyDescent="0.25">
      <c r="A253" s="1" t="s">
        <v>20</v>
      </c>
      <c r="B253" s="8">
        <v>11</v>
      </c>
      <c r="C253" s="10">
        <f>B253*1.4/100</f>
        <v>0.154</v>
      </c>
      <c r="D253" s="10">
        <f>B253*0/100</f>
        <v>0</v>
      </c>
      <c r="E253" s="10">
        <f>B253*9.1/100</f>
        <v>1.0009999999999999</v>
      </c>
      <c r="F253" s="10">
        <f>B253*41/100</f>
        <v>4.51</v>
      </c>
      <c r="G253" s="7"/>
      <c r="H253" s="1"/>
    </row>
    <row r="254" spans="1:8" x14ac:dyDescent="0.25">
      <c r="A254" s="1" t="s">
        <v>16</v>
      </c>
      <c r="B254" s="8">
        <v>11</v>
      </c>
      <c r="C254" s="10">
        <f>B254*1.3/100</f>
        <v>0.14300000000000002</v>
      </c>
      <c r="D254" s="10">
        <f>B254*0.1/100</f>
        <v>1.1000000000000001E-2</v>
      </c>
      <c r="E254" s="10">
        <f>B254*8.4/100</f>
        <v>0.92400000000000004</v>
      </c>
      <c r="F254" s="10">
        <f>B254*34/100</f>
        <v>3.74</v>
      </c>
      <c r="G254" s="7"/>
      <c r="H254" s="1"/>
    </row>
    <row r="255" spans="1:8" x14ac:dyDescent="0.25">
      <c r="A255" s="1" t="s">
        <v>105</v>
      </c>
      <c r="B255" s="8">
        <v>8</v>
      </c>
      <c r="C255" s="10">
        <f>B255*7/100</f>
        <v>0.56000000000000005</v>
      </c>
      <c r="D255" s="10">
        <f>B255*1/100</f>
        <v>0.08</v>
      </c>
      <c r="E255" s="10">
        <f>B255*71.4/100</f>
        <v>5.7120000000000006</v>
      </c>
      <c r="F255" s="10">
        <f>B255*330/100</f>
        <v>26.4</v>
      </c>
      <c r="G255" s="7"/>
      <c r="H255" s="1"/>
    </row>
    <row r="256" spans="1:8" x14ac:dyDescent="0.25">
      <c r="A256" s="1" t="s">
        <v>8</v>
      </c>
      <c r="B256" s="8">
        <v>2</v>
      </c>
      <c r="C256" s="10">
        <f>B256*0.7/100</f>
        <v>1.3999999999999999E-2</v>
      </c>
      <c r="D256" s="10">
        <f>B256*72.5/100</f>
        <v>1.45</v>
      </c>
      <c r="E256" s="10">
        <f>B256*1/100</f>
        <v>0.02</v>
      </c>
      <c r="F256" s="10">
        <f>B256*709/100</f>
        <v>14.18</v>
      </c>
      <c r="G256" s="7"/>
      <c r="H256" s="1"/>
    </row>
    <row r="257" spans="1:8" x14ac:dyDescent="0.25">
      <c r="A257" s="2" t="s">
        <v>14</v>
      </c>
      <c r="B257" s="5"/>
      <c r="C257" s="5">
        <f>C251+C252+C253+C254+C255+C256</f>
        <v>7.9409999999999998</v>
      </c>
      <c r="D257" s="5">
        <f>D251+D252+D253+D254+D255+D256</f>
        <v>3.4409999999999998</v>
      </c>
      <c r="E257" s="5">
        <f>E251+E252+E253+E254+E255+E256</f>
        <v>14.576999999999998</v>
      </c>
      <c r="F257" s="5">
        <f>F251+F252+F253+F254+F255+F256</f>
        <v>121.63</v>
      </c>
      <c r="G257" s="5">
        <v>200</v>
      </c>
      <c r="H257" s="1"/>
    </row>
    <row r="258" spans="1:8" x14ac:dyDescent="0.25">
      <c r="A258" s="1" t="s">
        <v>107</v>
      </c>
      <c r="B258" s="7"/>
      <c r="C258" s="10">
        <f t="shared" ref="C258:C299" si="21">B258*7.2/100</f>
        <v>0</v>
      </c>
      <c r="D258" s="10">
        <f t="shared" ref="D258:D299" si="22">B258*8.5/100</f>
        <v>0</v>
      </c>
      <c r="E258" s="10">
        <f t="shared" si="20"/>
        <v>0</v>
      </c>
      <c r="F258" s="10">
        <f t="shared" ref="F258:F299" si="23">B258*379/100</f>
        <v>0</v>
      </c>
      <c r="G258" s="5"/>
      <c r="H258" s="1"/>
    </row>
    <row r="259" spans="1:8" x14ac:dyDescent="0.25">
      <c r="A259" s="1" t="s">
        <v>108</v>
      </c>
      <c r="B259" s="8">
        <v>70</v>
      </c>
      <c r="C259" s="10">
        <f>B259*18.6/100</f>
        <v>13.02</v>
      </c>
      <c r="D259" s="10">
        <f>B259*16/100</f>
        <v>11.2</v>
      </c>
      <c r="E259" s="10">
        <f>B259*0/100</f>
        <v>0</v>
      </c>
      <c r="F259" s="10">
        <f>B259*218/100</f>
        <v>152.6</v>
      </c>
      <c r="G259" s="5"/>
      <c r="H259" s="1"/>
    </row>
    <row r="260" spans="1:8" x14ac:dyDescent="0.25">
      <c r="A260" s="1" t="s">
        <v>20</v>
      </c>
      <c r="B260" s="8">
        <v>11</v>
      </c>
      <c r="C260" s="10">
        <f>B260*1.4/100</f>
        <v>0.154</v>
      </c>
      <c r="D260" s="10">
        <f>B260*0/100</f>
        <v>0</v>
      </c>
      <c r="E260" s="10">
        <f>B260*9.1/100</f>
        <v>1.0009999999999999</v>
      </c>
      <c r="F260" s="10">
        <f>B260*41/100</f>
        <v>4.51</v>
      </c>
      <c r="G260" s="5"/>
      <c r="H260" s="1"/>
    </row>
    <row r="261" spans="1:8" x14ac:dyDescent="0.25">
      <c r="A261" s="1" t="s">
        <v>21</v>
      </c>
      <c r="B261" s="8">
        <v>6</v>
      </c>
      <c r="C261" s="10">
        <f>B261*12.7/100</f>
        <v>0.7619999999999999</v>
      </c>
      <c r="D261" s="10">
        <f>B261*11.5/100</f>
        <v>0.69</v>
      </c>
      <c r="E261" s="10">
        <f>B261*0.7/100</f>
        <v>4.1999999999999996E-2</v>
      </c>
      <c r="F261" s="10">
        <f>B261*157/100</f>
        <v>9.42</v>
      </c>
      <c r="G261" s="5"/>
      <c r="H261" s="1"/>
    </row>
    <row r="262" spans="1:8" x14ac:dyDescent="0.25">
      <c r="A262" s="1" t="s">
        <v>12</v>
      </c>
      <c r="B262" s="8">
        <v>8</v>
      </c>
      <c r="C262" s="10">
        <f>B262*7.7/100</f>
        <v>0.61599999999999999</v>
      </c>
      <c r="D262" s="10">
        <f>B262*3/100</f>
        <v>0.24</v>
      </c>
      <c r="E262" s="10">
        <f>B262*49.8/100</f>
        <v>3.984</v>
      </c>
      <c r="F262" s="10">
        <f>B262*262/100</f>
        <v>20.96</v>
      </c>
      <c r="G262" s="5"/>
      <c r="H262" s="1"/>
    </row>
    <row r="263" spans="1:8" x14ac:dyDescent="0.25">
      <c r="A263" s="1" t="s">
        <v>57</v>
      </c>
      <c r="B263" s="8">
        <v>2</v>
      </c>
      <c r="C263" s="10">
        <f>B263*0/100</f>
        <v>0</v>
      </c>
      <c r="D263" s="10">
        <f t="shared" si="22"/>
        <v>0.17</v>
      </c>
      <c r="E263" s="10">
        <f>B263*0/100</f>
        <v>0</v>
      </c>
      <c r="F263" s="10">
        <f>B263*899/100</f>
        <v>17.98</v>
      </c>
      <c r="G263" s="5"/>
      <c r="H263" s="1"/>
    </row>
    <row r="264" spans="1:8" x14ac:dyDescent="0.25">
      <c r="A264" s="2" t="s">
        <v>14</v>
      </c>
      <c r="B264" s="5"/>
      <c r="C264" s="5">
        <f>C259+C260+C261+C262+C263</f>
        <v>14.552</v>
      </c>
      <c r="D264" s="5">
        <f>D259+D260+D261+D262+D263</f>
        <v>12.299999999999999</v>
      </c>
      <c r="E264" s="5">
        <f>E260+E261+E262+E263</f>
        <v>5.0270000000000001</v>
      </c>
      <c r="F264" s="5">
        <f>F259+F260+F261+F262+F263</f>
        <v>205.46999999999997</v>
      </c>
      <c r="G264" s="5">
        <v>70</v>
      </c>
      <c r="H264" s="1"/>
    </row>
    <row r="265" spans="1:8" x14ac:dyDescent="0.25">
      <c r="A265" s="1" t="s">
        <v>109</v>
      </c>
      <c r="B265" s="7"/>
      <c r="C265" s="10">
        <f t="shared" si="21"/>
        <v>0</v>
      </c>
      <c r="D265" s="10">
        <f t="shared" si="22"/>
        <v>0</v>
      </c>
      <c r="E265" s="10">
        <f t="shared" si="20"/>
        <v>0</v>
      </c>
      <c r="F265" s="10">
        <f t="shared" si="23"/>
        <v>0</v>
      </c>
      <c r="G265" s="5"/>
      <c r="H265" s="1"/>
    </row>
    <row r="266" spans="1:8" x14ac:dyDescent="0.25">
      <c r="A266" s="1" t="s">
        <v>26</v>
      </c>
      <c r="B266" s="8">
        <v>110</v>
      </c>
      <c r="C266" s="10">
        <f>B266*1.8/100</f>
        <v>1.98</v>
      </c>
      <c r="D266" s="10">
        <f>B266*0.1/100</f>
        <v>0.11</v>
      </c>
      <c r="E266" s="10">
        <f>B266*4.7/100</f>
        <v>5.17</v>
      </c>
      <c r="F266" s="10">
        <f>B266*27/100</f>
        <v>29.7</v>
      </c>
      <c r="G266" s="5"/>
      <c r="H266" s="1"/>
    </row>
    <row r="267" spans="1:8" x14ac:dyDescent="0.25">
      <c r="A267" s="1" t="s">
        <v>20</v>
      </c>
      <c r="B267" s="8">
        <v>13</v>
      </c>
      <c r="C267" s="10">
        <f>B267*1.4/100</f>
        <v>0.182</v>
      </c>
      <c r="D267" s="10">
        <f>B267*0/100</f>
        <v>0</v>
      </c>
      <c r="E267" s="10">
        <f>B267*9.1/100</f>
        <v>1.1830000000000001</v>
      </c>
      <c r="F267" s="10">
        <f>B267*41/100</f>
        <v>5.33</v>
      </c>
      <c r="G267" s="5"/>
      <c r="H267" s="1"/>
    </row>
    <row r="268" spans="1:8" x14ac:dyDescent="0.25">
      <c r="A268" s="1" t="s">
        <v>16</v>
      </c>
      <c r="B268" s="8">
        <v>13</v>
      </c>
      <c r="C268" s="10">
        <f>B268*1.3/100</f>
        <v>0.16900000000000001</v>
      </c>
      <c r="D268" s="10">
        <f>B268*0.1/100</f>
        <v>1.3000000000000001E-2</v>
      </c>
      <c r="E268" s="10">
        <f>B268*8.4/100</f>
        <v>1.0920000000000001</v>
      </c>
      <c r="F268" s="10">
        <f>B268*34/100</f>
        <v>4.42</v>
      </c>
      <c r="G268" s="5"/>
      <c r="H268" s="1"/>
    </row>
    <row r="269" spans="1:8" x14ac:dyDescent="0.25">
      <c r="A269" s="1" t="s">
        <v>28</v>
      </c>
      <c r="B269" s="8">
        <v>5</v>
      </c>
      <c r="C269" s="10">
        <f>B269*4.8/100</f>
        <v>0.24</v>
      </c>
      <c r="D269" s="10">
        <f>B269*0/100</f>
        <v>0</v>
      </c>
      <c r="E269" s="10">
        <f>B269*19/100</f>
        <v>0.95</v>
      </c>
      <c r="F269" s="10">
        <f>B269*99/100</f>
        <v>4.95</v>
      </c>
      <c r="G269" s="5"/>
      <c r="H269" s="1"/>
    </row>
    <row r="270" spans="1:8" x14ac:dyDescent="0.25">
      <c r="A270" s="1" t="s">
        <v>8</v>
      </c>
      <c r="B270" s="8">
        <v>2</v>
      </c>
      <c r="C270" s="10">
        <f>B270*0.7/100</f>
        <v>1.3999999999999999E-2</v>
      </c>
      <c r="D270" s="10">
        <f>B270*72.5/100</f>
        <v>1.45</v>
      </c>
      <c r="E270" s="10">
        <f>B270*1/100</f>
        <v>0.02</v>
      </c>
      <c r="F270" s="10">
        <f>B270*709/100</f>
        <v>14.18</v>
      </c>
      <c r="G270" s="5"/>
      <c r="H270" s="1"/>
    </row>
    <row r="271" spans="1:8" x14ac:dyDescent="0.25">
      <c r="A271" s="2" t="s">
        <v>14</v>
      </c>
      <c r="B271" s="5"/>
      <c r="C271" s="5">
        <f>C266+C267+C268+C269+C270</f>
        <v>2.5849999999999995</v>
      </c>
      <c r="D271" s="5">
        <f>D266+D267+D268+D269+D270</f>
        <v>1.573</v>
      </c>
      <c r="E271" s="5">
        <f>E266+E267+E268+E269+E270</f>
        <v>8.4149999999999991</v>
      </c>
      <c r="F271" s="5">
        <f>F266+F267+F268+F269+F270</f>
        <v>58.580000000000005</v>
      </c>
      <c r="G271" s="5">
        <v>100</v>
      </c>
      <c r="H271" s="1"/>
    </row>
    <row r="272" spans="1:8" x14ac:dyDescent="0.25">
      <c r="A272" s="1" t="s">
        <v>72</v>
      </c>
      <c r="B272" s="7"/>
      <c r="C272" s="10">
        <f t="shared" si="21"/>
        <v>0</v>
      </c>
      <c r="D272" s="10">
        <f t="shared" si="22"/>
        <v>0</v>
      </c>
      <c r="E272" s="10">
        <f t="shared" si="20"/>
        <v>0</v>
      </c>
      <c r="F272" s="10">
        <f t="shared" si="23"/>
        <v>0</v>
      </c>
      <c r="G272" s="5"/>
      <c r="H272" s="1"/>
    </row>
    <row r="273" spans="1:8" x14ac:dyDescent="0.25">
      <c r="A273" s="1" t="s">
        <v>110</v>
      </c>
      <c r="B273" s="8">
        <v>7</v>
      </c>
      <c r="C273" s="10">
        <f>B273*3.4/100</f>
        <v>0.23800000000000002</v>
      </c>
      <c r="D273" s="10">
        <f>B273*0/100</f>
        <v>0</v>
      </c>
      <c r="E273" s="10">
        <f>B273*21.5/100</f>
        <v>1.5049999999999999</v>
      </c>
      <c r="F273" s="10">
        <f>B273*110/100</f>
        <v>7.7</v>
      </c>
      <c r="G273" s="5"/>
      <c r="H273" s="1"/>
    </row>
    <row r="274" spans="1:8" x14ac:dyDescent="0.25">
      <c r="A274" s="1" t="s">
        <v>9</v>
      </c>
      <c r="B274" s="8">
        <v>8</v>
      </c>
      <c r="C274" s="10">
        <f>B274*0/100</f>
        <v>0</v>
      </c>
      <c r="D274" s="10">
        <f>B274*0/100</f>
        <v>0</v>
      </c>
      <c r="E274" s="10">
        <f>B274*99.8/100</f>
        <v>7.984</v>
      </c>
      <c r="F274" s="10">
        <f t="shared" si="23"/>
        <v>30.32</v>
      </c>
      <c r="G274" s="5"/>
      <c r="H274" s="1"/>
    </row>
    <row r="275" spans="1:8" x14ac:dyDescent="0.25">
      <c r="A275" s="2" t="s">
        <v>14</v>
      </c>
      <c r="B275" s="5"/>
      <c r="C275" s="5">
        <f>C273+C274</f>
        <v>0.23800000000000002</v>
      </c>
      <c r="D275" s="5">
        <f>D273+D274</f>
        <v>0</v>
      </c>
      <c r="E275" s="5">
        <f>E273+E274</f>
        <v>9.4890000000000008</v>
      </c>
      <c r="F275" s="5">
        <f>F273+F274</f>
        <v>38.020000000000003</v>
      </c>
      <c r="G275" s="5">
        <v>200</v>
      </c>
      <c r="H275" s="1"/>
    </row>
    <row r="276" spans="1:8" x14ac:dyDescent="0.25">
      <c r="A276" s="1"/>
      <c r="B276" s="7"/>
      <c r="C276" s="10">
        <f t="shared" si="21"/>
        <v>0</v>
      </c>
      <c r="D276" s="10">
        <f t="shared" si="22"/>
        <v>0</v>
      </c>
      <c r="E276" s="10">
        <f t="shared" si="20"/>
        <v>0</v>
      </c>
      <c r="F276" s="10">
        <f t="shared" si="23"/>
        <v>0</v>
      </c>
      <c r="G276" s="5"/>
      <c r="H276" s="1"/>
    </row>
    <row r="277" spans="1:8" x14ac:dyDescent="0.25">
      <c r="A277" s="1" t="s">
        <v>111</v>
      </c>
      <c r="B277" s="7">
        <v>35</v>
      </c>
      <c r="C277" s="10">
        <f>B277*7.7/100</f>
        <v>2.6949999999999998</v>
      </c>
      <c r="D277" s="10">
        <f>B277*3/100</f>
        <v>1.05</v>
      </c>
      <c r="E277" s="10">
        <f>B277*49.8/100</f>
        <v>17.43</v>
      </c>
      <c r="F277" s="10">
        <f>B277*262/100</f>
        <v>91.7</v>
      </c>
      <c r="G277" s="5">
        <v>35</v>
      </c>
      <c r="H277" s="1"/>
    </row>
    <row r="278" spans="1:8" x14ac:dyDescent="0.25">
      <c r="A278" s="1" t="s">
        <v>32</v>
      </c>
      <c r="B278" s="7">
        <v>40</v>
      </c>
      <c r="C278" s="10">
        <f>B278*6.6/100</f>
        <v>2.64</v>
      </c>
      <c r="D278" s="10">
        <f>B278*1.2/100</f>
        <v>0.48</v>
      </c>
      <c r="E278" s="10">
        <f>B278*34.2/100</f>
        <v>13.68</v>
      </c>
      <c r="F278" s="10">
        <f>B278*181/100</f>
        <v>72.400000000000006</v>
      </c>
      <c r="G278" s="5">
        <v>40</v>
      </c>
      <c r="H278" s="1"/>
    </row>
    <row r="279" spans="1:8" x14ac:dyDescent="0.25">
      <c r="A279" s="2" t="s">
        <v>112</v>
      </c>
      <c r="B279" s="5"/>
      <c r="C279" s="5">
        <f>C257+C264+C271+C275+C277+C278</f>
        <v>30.651</v>
      </c>
      <c r="D279" s="5">
        <f>D257+D264+D271+D277+D278</f>
        <v>18.844000000000001</v>
      </c>
      <c r="E279" s="5">
        <f>E257+E264+E271+E275+E277+E278</f>
        <v>68.617999999999995</v>
      </c>
      <c r="F279" s="5">
        <f>F257+F264+F271+F275+F277+F278</f>
        <v>587.79999999999995</v>
      </c>
      <c r="G279" s="5">
        <v>645</v>
      </c>
      <c r="H279" s="1"/>
    </row>
    <row r="280" spans="1:8" ht="15.75" x14ac:dyDescent="0.25">
      <c r="A280" s="14" t="s">
        <v>186</v>
      </c>
      <c r="B280" s="16"/>
      <c r="C280" s="16">
        <f>C244+C247+C279</f>
        <v>50.972000000000008</v>
      </c>
      <c r="D280" s="16">
        <f>D244+D247+D279</f>
        <v>44.079000000000001</v>
      </c>
      <c r="E280" s="16">
        <f>E244+E247+E279</f>
        <v>120.1</v>
      </c>
      <c r="F280" s="16">
        <f>F244+F247+F279</f>
        <v>1107.67</v>
      </c>
      <c r="G280" s="7"/>
      <c r="H280" s="1"/>
    </row>
    <row r="281" spans="1:8" x14ac:dyDescent="0.25">
      <c r="A281" s="1"/>
      <c r="B281" s="7"/>
      <c r="C281" s="10"/>
      <c r="D281" s="10"/>
      <c r="E281" s="10"/>
      <c r="F281" s="10"/>
      <c r="G281" s="7"/>
      <c r="H281" s="1"/>
    </row>
    <row r="282" spans="1:8" x14ac:dyDescent="0.25">
      <c r="A282" s="15" t="s">
        <v>113</v>
      </c>
      <c r="B282" s="7"/>
      <c r="C282" s="10"/>
      <c r="D282" s="10"/>
      <c r="E282" s="10"/>
      <c r="F282" s="10"/>
      <c r="G282" s="7"/>
      <c r="H282" s="2" t="s">
        <v>114</v>
      </c>
    </row>
    <row r="283" spans="1:8" x14ac:dyDescent="0.25">
      <c r="A283" s="1" t="s">
        <v>36</v>
      </c>
      <c r="B283" s="7"/>
      <c r="C283" s="10"/>
      <c r="D283" s="10"/>
      <c r="E283" s="10"/>
      <c r="F283" s="10"/>
      <c r="G283" s="7"/>
      <c r="H283" s="1"/>
    </row>
    <row r="284" spans="1:8" x14ac:dyDescent="0.25">
      <c r="A284" s="1" t="s">
        <v>115</v>
      </c>
      <c r="B284" s="8"/>
      <c r="C284" s="10"/>
      <c r="D284" s="10"/>
      <c r="E284" s="10"/>
      <c r="F284" s="10"/>
      <c r="G284" s="7"/>
      <c r="H284" s="1"/>
    </row>
    <row r="285" spans="1:8" x14ac:dyDescent="0.25">
      <c r="A285" s="1" t="s">
        <v>61</v>
      </c>
      <c r="B285" s="8">
        <v>20</v>
      </c>
      <c r="C285" s="10">
        <f>B285*10.3/100</f>
        <v>2.06</v>
      </c>
      <c r="D285" s="10">
        <f>B285*1/100</f>
        <v>0.2</v>
      </c>
      <c r="E285" s="10">
        <f>B285*67.9/100</f>
        <v>13.58</v>
      </c>
      <c r="F285" s="10">
        <f>B285*328/100</f>
        <v>65.599999999999994</v>
      </c>
      <c r="G285" s="7"/>
      <c r="H285" s="1"/>
    </row>
    <row r="286" spans="1:8" x14ac:dyDescent="0.25">
      <c r="A286" s="1" t="s">
        <v>7</v>
      </c>
      <c r="B286" s="8">
        <v>100</v>
      </c>
      <c r="C286" s="10">
        <f>B286*2.8/100</f>
        <v>2.8</v>
      </c>
      <c r="D286" s="10">
        <f>B286*3.5/100</f>
        <v>3.5</v>
      </c>
      <c r="E286" s="10">
        <f>B286*4.7/100</f>
        <v>4.7</v>
      </c>
      <c r="F286" s="10">
        <f>B286*61/100</f>
        <v>61</v>
      </c>
      <c r="G286" s="7"/>
      <c r="H286" s="1"/>
    </row>
    <row r="287" spans="1:8" x14ac:dyDescent="0.25">
      <c r="A287" s="1" t="s">
        <v>8</v>
      </c>
      <c r="B287" s="8">
        <v>3</v>
      </c>
      <c r="C287" s="10">
        <f>B287*0.7/100</f>
        <v>2.0999999999999998E-2</v>
      </c>
      <c r="D287" s="10">
        <f>B287*72.5/100</f>
        <v>2.1749999999999998</v>
      </c>
      <c r="E287" s="10">
        <f>B287*1/100</f>
        <v>0.03</v>
      </c>
      <c r="F287" s="10">
        <f>B287*709/100</f>
        <v>21.27</v>
      </c>
      <c r="G287" s="5"/>
      <c r="H287" s="1"/>
    </row>
    <row r="288" spans="1:8" x14ac:dyDescent="0.25">
      <c r="A288" s="1" t="s">
        <v>9</v>
      </c>
      <c r="B288" s="8">
        <v>5</v>
      </c>
      <c r="C288" s="10">
        <f>B288*0/100</f>
        <v>0</v>
      </c>
      <c r="D288" s="10">
        <f>B288*0/100</f>
        <v>0</v>
      </c>
      <c r="E288" s="10">
        <f>B288*99.8/100</f>
        <v>4.99</v>
      </c>
      <c r="F288" s="10">
        <f t="shared" si="23"/>
        <v>18.95</v>
      </c>
      <c r="G288" s="5"/>
      <c r="H288" s="1"/>
    </row>
    <row r="289" spans="1:8" x14ac:dyDescent="0.25">
      <c r="A289" s="2" t="s">
        <v>14</v>
      </c>
      <c r="B289" s="5"/>
      <c r="C289" s="5">
        <f>C285+C286+C287+C288</f>
        <v>4.8809999999999993</v>
      </c>
      <c r="D289" s="5">
        <f>D285+D286+D287+D288</f>
        <v>5.875</v>
      </c>
      <c r="E289" s="5">
        <f>E285+E286+E287+E288</f>
        <v>23.300000000000004</v>
      </c>
      <c r="F289" s="5">
        <f>F285+F286+F287+F288</f>
        <v>166.82</v>
      </c>
      <c r="G289" s="5">
        <v>200</v>
      </c>
      <c r="H289" s="1"/>
    </row>
    <row r="290" spans="1:8" x14ac:dyDescent="0.25">
      <c r="A290" s="1" t="s">
        <v>63</v>
      </c>
      <c r="B290" s="7"/>
      <c r="C290" s="10">
        <f t="shared" si="21"/>
        <v>0</v>
      </c>
      <c r="D290" s="10">
        <f t="shared" si="22"/>
        <v>0</v>
      </c>
      <c r="E290" s="10">
        <f t="shared" si="20"/>
        <v>0</v>
      </c>
      <c r="F290" s="10">
        <f t="shared" si="23"/>
        <v>0</v>
      </c>
      <c r="G290" s="5"/>
      <c r="H290" s="1"/>
    </row>
    <row r="291" spans="1:8" x14ac:dyDescent="0.25">
      <c r="A291" s="1" t="s">
        <v>116</v>
      </c>
      <c r="B291" s="8">
        <v>2</v>
      </c>
      <c r="C291" s="10">
        <f>B291*24.2/100</f>
        <v>0.48399999999999999</v>
      </c>
      <c r="D291" s="10">
        <f>B291*17.5/100</f>
        <v>0.35</v>
      </c>
      <c r="E291" s="10">
        <f>B291*27.9/100</f>
        <v>0.55799999999999994</v>
      </c>
      <c r="F291" s="10">
        <f>B291*373/100</f>
        <v>7.46</v>
      </c>
      <c r="G291" s="5"/>
      <c r="H291" s="1"/>
    </row>
    <row r="292" spans="1:8" x14ac:dyDescent="0.25">
      <c r="A292" s="1" t="s">
        <v>99</v>
      </c>
      <c r="B292" s="8">
        <v>100</v>
      </c>
      <c r="C292" s="10">
        <f>B292*2.8/100</f>
        <v>2.8</v>
      </c>
      <c r="D292" s="10">
        <f>B292*3.5/100</f>
        <v>3.5</v>
      </c>
      <c r="E292" s="10">
        <f>B292*4.7/100</f>
        <v>4.7</v>
      </c>
      <c r="F292" s="10">
        <f>B292*61/100</f>
        <v>61</v>
      </c>
      <c r="G292" s="5"/>
      <c r="H292" s="1"/>
    </row>
    <row r="293" spans="1:8" x14ac:dyDescent="0.25">
      <c r="A293" s="1" t="s">
        <v>9</v>
      </c>
      <c r="B293" s="8">
        <v>8</v>
      </c>
      <c r="C293" s="10">
        <f>B293*0/100</f>
        <v>0</v>
      </c>
      <c r="D293" s="10">
        <f>B293*0/100</f>
        <v>0</v>
      </c>
      <c r="E293" s="10">
        <f>B293*99.8/100</f>
        <v>7.984</v>
      </c>
      <c r="F293" s="10">
        <f t="shared" si="23"/>
        <v>30.32</v>
      </c>
      <c r="G293" s="5"/>
      <c r="H293" s="1"/>
    </row>
    <row r="294" spans="1:8" x14ac:dyDescent="0.25">
      <c r="A294" s="2" t="s">
        <v>14</v>
      </c>
      <c r="B294" s="5"/>
      <c r="C294" s="5">
        <f>C291+C292+C293</f>
        <v>3.2839999999999998</v>
      </c>
      <c r="D294" s="5">
        <f>D291+D292+D293</f>
        <v>3.85</v>
      </c>
      <c r="E294" s="5">
        <f>E291+E292+E293</f>
        <v>13.242000000000001</v>
      </c>
      <c r="F294" s="5">
        <f>F291+F292+F293</f>
        <v>98.78</v>
      </c>
      <c r="G294" s="5">
        <v>200</v>
      </c>
      <c r="H294" s="1"/>
    </row>
    <row r="295" spans="1:8" x14ac:dyDescent="0.25">
      <c r="A295" s="1" t="s">
        <v>12</v>
      </c>
      <c r="B295" s="8">
        <v>40</v>
      </c>
      <c r="C295" s="10">
        <f>B295*7.7/100</f>
        <v>3.08</v>
      </c>
      <c r="D295" s="10">
        <f>B295*3/100</f>
        <v>1.2</v>
      </c>
      <c r="E295" s="10">
        <f>B295*49.8/100</f>
        <v>19.920000000000002</v>
      </c>
      <c r="F295" s="10">
        <f>B295*262/100</f>
        <v>104.8</v>
      </c>
      <c r="G295" s="5">
        <v>40</v>
      </c>
      <c r="H295" s="1"/>
    </row>
    <row r="296" spans="1:8" x14ac:dyDescent="0.25">
      <c r="A296" s="1" t="s">
        <v>8</v>
      </c>
      <c r="B296" s="8">
        <v>8</v>
      </c>
      <c r="C296" s="10">
        <f>B296*0.7/100</f>
        <v>5.5999999999999994E-2</v>
      </c>
      <c r="D296" s="10">
        <f>B296*72.5/100</f>
        <v>5.8</v>
      </c>
      <c r="E296" s="10">
        <f>B296*1/100</f>
        <v>0.08</v>
      </c>
      <c r="F296" s="10">
        <f>B296*709/100</f>
        <v>56.72</v>
      </c>
      <c r="G296" s="5">
        <v>8</v>
      </c>
      <c r="H296" s="1"/>
    </row>
    <row r="297" spans="1:8" x14ac:dyDescent="0.25">
      <c r="A297" s="1" t="s">
        <v>117</v>
      </c>
      <c r="B297" s="8">
        <v>52</v>
      </c>
      <c r="C297" s="10">
        <f>B297*10.4/100</f>
        <v>5.4080000000000004</v>
      </c>
      <c r="D297" s="10">
        <f>B297*20.1/100</f>
        <v>10.452</v>
      </c>
      <c r="E297" s="10">
        <f>B297*0.8/100</f>
        <v>0.41600000000000004</v>
      </c>
      <c r="F297" s="10">
        <f>B297*226/100</f>
        <v>117.52</v>
      </c>
      <c r="G297" s="5">
        <v>50</v>
      </c>
      <c r="H297" s="1"/>
    </row>
    <row r="298" spans="1:8" x14ac:dyDescent="0.25">
      <c r="A298" s="2" t="s">
        <v>118</v>
      </c>
      <c r="B298" s="5"/>
      <c r="C298" s="5">
        <f>C289+C294+C295+C296+C297</f>
        <v>16.709</v>
      </c>
      <c r="D298" s="5">
        <f>D289+D294+D295+D296+D297</f>
        <v>27.177</v>
      </c>
      <c r="E298" s="5">
        <f>E289+E294+E295+E296+E297</f>
        <v>56.957999999999998</v>
      </c>
      <c r="F298" s="5">
        <f>F289+F294+F295+F296+F297</f>
        <v>544.64</v>
      </c>
      <c r="G298" s="5">
        <v>500</v>
      </c>
      <c r="H298" s="1"/>
    </row>
    <row r="299" spans="1:8" x14ac:dyDescent="0.25">
      <c r="A299" s="1"/>
      <c r="B299" s="7"/>
      <c r="C299" s="10">
        <f t="shared" si="21"/>
        <v>0</v>
      </c>
      <c r="D299" s="10">
        <f t="shared" si="22"/>
        <v>0</v>
      </c>
      <c r="E299" s="10">
        <f t="shared" si="20"/>
        <v>0</v>
      </c>
      <c r="F299" s="10">
        <f t="shared" si="23"/>
        <v>0</v>
      </c>
      <c r="G299" s="7"/>
      <c r="H299" s="1"/>
    </row>
    <row r="300" spans="1:8" x14ac:dyDescent="0.25">
      <c r="A300" s="2" t="s">
        <v>119</v>
      </c>
      <c r="B300" s="5">
        <v>180</v>
      </c>
      <c r="C300" s="5">
        <f>B300*1.5/100</f>
        <v>2.7</v>
      </c>
      <c r="D300" s="5">
        <f>B300*0.1/100</f>
        <v>0.18</v>
      </c>
      <c r="E300" s="5">
        <f>B300*19.2/100</f>
        <v>34.56</v>
      </c>
      <c r="F300" s="5">
        <f>B300*89/100</f>
        <v>160.19999999999999</v>
      </c>
      <c r="G300" s="5">
        <v>180</v>
      </c>
      <c r="H300" s="1"/>
    </row>
    <row r="301" spans="1:8" x14ac:dyDescent="0.25">
      <c r="A301" s="1" t="s">
        <v>33</v>
      </c>
      <c r="B301" s="7"/>
      <c r="C301" s="10">
        <f t="shared" ref="C301:C366" si="24">B301*1.5/100</f>
        <v>0</v>
      </c>
      <c r="D301" s="10">
        <f t="shared" ref="D301:D366" si="25">B301*0.1/100</f>
        <v>0</v>
      </c>
      <c r="E301" s="10">
        <f t="shared" ref="E301:E366" si="26">B301*19.2/100</f>
        <v>0</v>
      </c>
      <c r="F301" s="10">
        <f t="shared" ref="F301:F366" si="27">B301*89/100</f>
        <v>0</v>
      </c>
      <c r="G301" s="7"/>
      <c r="H301" s="1"/>
    </row>
    <row r="302" spans="1:8" x14ac:dyDescent="0.25">
      <c r="A302" s="1" t="s">
        <v>126</v>
      </c>
      <c r="B302" s="7"/>
      <c r="C302" s="10">
        <f t="shared" si="24"/>
        <v>0</v>
      </c>
      <c r="D302" s="10">
        <f t="shared" si="25"/>
        <v>0</v>
      </c>
      <c r="E302" s="10">
        <f t="shared" si="26"/>
        <v>0</v>
      </c>
      <c r="F302" s="10">
        <f t="shared" si="27"/>
        <v>0</v>
      </c>
      <c r="G302" s="7"/>
      <c r="H302" s="1"/>
    </row>
    <row r="303" spans="1:8" x14ac:dyDescent="0.25">
      <c r="A303" s="1" t="s">
        <v>44</v>
      </c>
      <c r="B303" s="7">
        <v>5</v>
      </c>
      <c r="C303" s="10">
        <f>B303*2.8/100</f>
        <v>0.14000000000000001</v>
      </c>
      <c r="D303" s="10">
        <f>B303*15/100</f>
        <v>0.75</v>
      </c>
      <c r="E303" s="10">
        <f>B303*3.2/100</f>
        <v>0.16</v>
      </c>
      <c r="F303" s="10">
        <f>B303*206/100</f>
        <v>10.3</v>
      </c>
      <c r="G303" s="7"/>
      <c r="H303" s="1"/>
    </row>
    <row r="304" spans="1:8" x14ac:dyDescent="0.25">
      <c r="A304" s="1" t="s">
        <v>41</v>
      </c>
      <c r="B304" s="8">
        <v>30</v>
      </c>
      <c r="C304" s="10">
        <f>B304*18.6/100</f>
        <v>5.58</v>
      </c>
      <c r="D304" s="10">
        <f>B304*16/100</f>
        <v>4.8</v>
      </c>
      <c r="E304" s="10">
        <f>B304*0/100</f>
        <v>0</v>
      </c>
      <c r="F304" s="10">
        <f>B304*218/100</f>
        <v>65.400000000000006</v>
      </c>
      <c r="G304" s="7"/>
      <c r="H304" s="1"/>
    </row>
    <row r="305" spans="1:8" x14ac:dyDescent="0.25">
      <c r="A305" s="1" t="s">
        <v>15</v>
      </c>
      <c r="B305" s="8">
        <v>40</v>
      </c>
      <c r="C305" s="10">
        <f>B305*2/100</f>
        <v>0.8</v>
      </c>
      <c r="D305" s="10">
        <f>B305*0.4/100</f>
        <v>0.16</v>
      </c>
      <c r="E305" s="10">
        <f>B305*17.3/100</f>
        <v>6.92</v>
      </c>
      <c r="F305" s="10">
        <f>B305*80/100</f>
        <v>32</v>
      </c>
      <c r="G305" s="7"/>
      <c r="H305" s="1"/>
    </row>
    <row r="306" spans="1:8" x14ac:dyDescent="0.25">
      <c r="A306" s="1" t="s">
        <v>20</v>
      </c>
      <c r="B306" s="8">
        <v>11</v>
      </c>
      <c r="C306" s="10">
        <f>B306*1.4/100</f>
        <v>0.154</v>
      </c>
      <c r="D306" s="10">
        <f>B306*0/100</f>
        <v>0</v>
      </c>
      <c r="E306" s="10">
        <f>B306*9.1/100</f>
        <v>1.0009999999999999</v>
      </c>
      <c r="F306" s="10">
        <f>B306*41/100</f>
        <v>4.51</v>
      </c>
      <c r="G306" s="7"/>
      <c r="H306" s="1"/>
    </row>
    <row r="307" spans="1:8" x14ac:dyDescent="0.25">
      <c r="A307" s="1" t="s">
        <v>16</v>
      </c>
      <c r="B307" s="8">
        <v>11</v>
      </c>
      <c r="C307" s="10">
        <f>B307*1.3/100</f>
        <v>0.14300000000000002</v>
      </c>
      <c r="D307" s="10">
        <f>B307*0.1/100</f>
        <v>1.1000000000000001E-2</v>
      </c>
      <c r="E307" s="10">
        <f>B307*8.4/100</f>
        <v>0.92400000000000004</v>
      </c>
      <c r="F307" s="10">
        <f>B307*34/100</f>
        <v>3.74</v>
      </c>
      <c r="G307" s="7"/>
      <c r="H307" s="1"/>
    </row>
    <row r="308" spans="1:8" x14ac:dyDescent="0.25">
      <c r="A308" s="1" t="s">
        <v>28</v>
      </c>
      <c r="B308" s="8">
        <v>3</v>
      </c>
      <c r="C308" s="10">
        <f>B308*4.8/100</f>
        <v>0.14399999999999999</v>
      </c>
      <c r="D308" s="10">
        <f>B308*0/100</f>
        <v>0</v>
      </c>
      <c r="E308" s="10">
        <f>B308*19/100</f>
        <v>0.56999999999999995</v>
      </c>
      <c r="F308" s="10">
        <f>B308*99/100</f>
        <v>2.97</v>
      </c>
      <c r="G308" s="7"/>
      <c r="H308" s="1"/>
    </row>
    <row r="309" spans="1:8" x14ac:dyDescent="0.25">
      <c r="A309" s="1" t="s">
        <v>120</v>
      </c>
      <c r="B309" s="8">
        <v>20</v>
      </c>
      <c r="C309" s="10">
        <f>B309*0.8/100</f>
        <v>0.16</v>
      </c>
      <c r="D309" s="10">
        <f t="shared" si="25"/>
        <v>0.02</v>
      </c>
      <c r="E309" s="10">
        <f>B309*3.4/100</f>
        <v>0.68</v>
      </c>
      <c r="F309" s="10">
        <f>B309*14/100</f>
        <v>2.8</v>
      </c>
      <c r="G309" s="7"/>
      <c r="H309" s="1"/>
    </row>
    <row r="310" spans="1:8" x14ac:dyDescent="0.25">
      <c r="A310" s="1" t="s">
        <v>8</v>
      </c>
      <c r="B310" s="7">
        <v>2</v>
      </c>
      <c r="C310" s="10">
        <f>B310*0.7/100</f>
        <v>1.3999999999999999E-2</v>
      </c>
      <c r="D310" s="10">
        <f>B310*72.5/100</f>
        <v>1.45</v>
      </c>
      <c r="E310" s="10">
        <f>B310*1/100</f>
        <v>0.02</v>
      </c>
      <c r="F310" s="10">
        <f>B310*709/100</f>
        <v>14.18</v>
      </c>
      <c r="G310" s="7"/>
      <c r="H310" s="1"/>
    </row>
    <row r="311" spans="1:8" x14ac:dyDescent="0.25">
      <c r="A311" s="2" t="s">
        <v>14</v>
      </c>
      <c r="B311" s="5"/>
      <c r="C311" s="5">
        <f>C303+C304+C305+C306+C307+C308+C309+C310</f>
        <v>7.1349999999999998</v>
      </c>
      <c r="D311" s="5">
        <f>D303+D304+D305+D306+D307+D308+D309+D310</f>
        <v>7.1909999999999998</v>
      </c>
      <c r="E311" s="5">
        <f>E303+E304+E304+E305+E306+E307+E308+E309+E310</f>
        <v>10.274999999999999</v>
      </c>
      <c r="F311" s="5">
        <f>F303+F304+F305+F306+F307+F308+F309+F310</f>
        <v>135.9</v>
      </c>
      <c r="G311" s="5" t="s">
        <v>127</v>
      </c>
      <c r="H311" s="1"/>
    </row>
    <row r="312" spans="1:8" x14ac:dyDescent="0.25">
      <c r="A312" s="1" t="s">
        <v>121</v>
      </c>
      <c r="B312" s="7"/>
      <c r="C312" s="10">
        <f t="shared" si="24"/>
        <v>0</v>
      </c>
      <c r="D312" s="10">
        <f t="shared" si="25"/>
        <v>0</v>
      </c>
      <c r="E312" s="10">
        <f t="shared" si="26"/>
        <v>0</v>
      </c>
      <c r="F312" s="10">
        <f t="shared" si="27"/>
        <v>0</v>
      </c>
      <c r="G312" s="7"/>
      <c r="H312" s="1"/>
    </row>
    <row r="313" spans="1:8" x14ac:dyDescent="0.25">
      <c r="A313" s="1" t="s">
        <v>122</v>
      </c>
      <c r="B313" s="8">
        <v>100</v>
      </c>
      <c r="C313" s="10">
        <f>B313*16/100</f>
        <v>16</v>
      </c>
      <c r="D313" s="10">
        <f>B313*0.6/100</f>
        <v>0.6</v>
      </c>
      <c r="E313" s="10">
        <f>B313*0/100</f>
        <v>0</v>
      </c>
      <c r="F313" s="10">
        <f>B313*69/100</f>
        <v>69</v>
      </c>
      <c r="G313" s="7"/>
      <c r="H313" s="1"/>
    </row>
    <row r="314" spans="1:8" x14ac:dyDescent="0.25">
      <c r="A314" s="1" t="s">
        <v>15</v>
      </c>
      <c r="B314" s="8">
        <v>40</v>
      </c>
      <c r="C314" s="10">
        <f>B314*2/100</f>
        <v>0.8</v>
      </c>
      <c r="D314" s="10">
        <f>B314*0.4/100</f>
        <v>0.16</v>
      </c>
      <c r="E314" s="10">
        <f>B314*17.3/100</f>
        <v>6.92</v>
      </c>
      <c r="F314" s="10">
        <f>B314*80/100</f>
        <v>32</v>
      </c>
      <c r="G314" s="7"/>
      <c r="H314" s="1"/>
    </row>
    <row r="315" spans="1:8" x14ac:dyDescent="0.25">
      <c r="A315" s="1" t="s">
        <v>7</v>
      </c>
      <c r="B315" s="8">
        <v>30</v>
      </c>
      <c r="C315" s="10">
        <f>B315*2.8/100</f>
        <v>0.84</v>
      </c>
      <c r="D315" s="10">
        <f>B315*3.5/100</f>
        <v>1.05</v>
      </c>
      <c r="E315" s="10">
        <f>B315*4.7/100</f>
        <v>1.41</v>
      </c>
      <c r="F315" s="10">
        <f>B315*61/100</f>
        <v>18.3</v>
      </c>
      <c r="G315" s="7"/>
      <c r="H315" s="1"/>
    </row>
    <row r="316" spans="1:8" x14ac:dyDescent="0.25">
      <c r="A316" s="1" t="s">
        <v>21</v>
      </c>
      <c r="B316" s="8">
        <v>12</v>
      </c>
      <c r="C316" s="10">
        <f>B316*12.7/100</f>
        <v>1.5239999999999998</v>
      </c>
      <c r="D316" s="10">
        <f>B316*11.5/100</f>
        <v>1.38</v>
      </c>
      <c r="E316" s="10">
        <f>B316*0.7/100</f>
        <v>8.3999999999999991E-2</v>
      </c>
      <c r="F316" s="10">
        <f>B316*157/100</f>
        <v>18.84</v>
      </c>
      <c r="G316" s="7"/>
      <c r="H316" s="1"/>
    </row>
    <row r="317" spans="1:8" x14ac:dyDescent="0.25">
      <c r="A317" s="1" t="s">
        <v>123</v>
      </c>
      <c r="B317" s="8">
        <v>3</v>
      </c>
      <c r="C317" s="10">
        <f>B317*10.3/100</f>
        <v>0.309</v>
      </c>
      <c r="D317" s="10">
        <f>B317*1.1/100</f>
        <v>3.3000000000000002E-2</v>
      </c>
      <c r="E317" s="10">
        <f>B317*69/100</f>
        <v>2.0699999999999998</v>
      </c>
      <c r="F317" s="10">
        <f>B317*334/100</f>
        <v>10.02</v>
      </c>
      <c r="G317" s="7"/>
      <c r="H317" s="1"/>
    </row>
    <row r="318" spans="1:8" x14ac:dyDescent="0.25">
      <c r="A318" s="1" t="s">
        <v>20</v>
      </c>
      <c r="B318" s="8">
        <v>11</v>
      </c>
      <c r="C318" s="10">
        <f>B318*1.4/100</f>
        <v>0.154</v>
      </c>
      <c r="D318" s="10">
        <f>B318*0/100</f>
        <v>0</v>
      </c>
      <c r="E318" s="10">
        <f>B318*9.1/100</f>
        <v>1.0009999999999999</v>
      </c>
      <c r="F318" s="10">
        <f>B318*41/100</f>
        <v>4.51</v>
      </c>
      <c r="G318" s="7"/>
      <c r="H318" s="1"/>
    </row>
    <row r="319" spans="1:8" x14ac:dyDescent="0.25">
      <c r="A319" s="1" t="s">
        <v>8</v>
      </c>
      <c r="B319" s="8">
        <v>2</v>
      </c>
      <c r="C319" s="10">
        <f>B319*0.7/100</f>
        <v>1.3999999999999999E-2</v>
      </c>
      <c r="D319" s="10">
        <f>B319*72.5/100</f>
        <v>1.45</v>
      </c>
      <c r="E319" s="10">
        <f>B319*0.1/100</f>
        <v>2E-3</v>
      </c>
      <c r="F319" s="10">
        <f>B319*709/100</f>
        <v>14.18</v>
      </c>
      <c r="G319" s="7"/>
      <c r="H319" s="1"/>
    </row>
    <row r="320" spans="1:8" x14ac:dyDescent="0.25">
      <c r="A320" s="2" t="s">
        <v>14</v>
      </c>
      <c r="B320" s="5"/>
      <c r="C320" s="5">
        <f>C313+C314+C315+C316+C317+C318+C319</f>
        <v>19.641000000000002</v>
      </c>
      <c r="D320" s="5">
        <f>D313+D314+D315+D316+D317+D318+D319</f>
        <v>4.673</v>
      </c>
      <c r="E320" s="5">
        <f>E313+E314+E315+E316+E317+E318+E319</f>
        <v>11.487</v>
      </c>
      <c r="F320" s="5">
        <f>F313+F314+F315+F316+F317+F318+F319</f>
        <v>166.85</v>
      </c>
      <c r="G320" s="5">
        <v>130</v>
      </c>
      <c r="H320" s="1"/>
    </row>
    <row r="321" spans="1:8" x14ac:dyDescent="0.25">
      <c r="A321" s="1" t="s">
        <v>124</v>
      </c>
      <c r="B321" s="5">
        <v>60</v>
      </c>
      <c r="C321" s="5">
        <f>B321*2.2/100</f>
        <v>1.32</v>
      </c>
      <c r="D321" s="5">
        <f>B321*0.4/100</f>
        <v>0.24</v>
      </c>
      <c r="E321" s="5">
        <f>B321*11.2/100</f>
        <v>6.72</v>
      </c>
      <c r="F321" s="5">
        <f>B321*58/100</f>
        <v>34.799999999999997</v>
      </c>
      <c r="G321" s="5">
        <v>50</v>
      </c>
      <c r="H321" s="1"/>
    </row>
    <row r="322" spans="1:8" x14ac:dyDescent="0.25">
      <c r="A322" s="1" t="s">
        <v>72</v>
      </c>
      <c r="B322" s="7"/>
      <c r="C322" s="10">
        <f t="shared" si="24"/>
        <v>0</v>
      </c>
      <c r="D322" s="10">
        <f t="shared" si="25"/>
        <v>0</v>
      </c>
      <c r="E322" s="10">
        <f t="shared" si="26"/>
        <v>0</v>
      </c>
      <c r="F322" s="10">
        <f t="shared" si="27"/>
        <v>0</v>
      </c>
      <c r="G322" s="7"/>
      <c r="H322" s="1"/>
    </row>
    <row r="323" spans="1:8" x14ac:dyDescent="0.25">
      <c r="A323" s="1" t="s">
        <v>125</v>
      </c>
      <c r="B323" s="8">
        <v>7</v>
      </c>
      <c r="C323" s="10">
        <f>B323*3.4/100</f>
        <v>0.23800000000000002</v>
      </c>
      <c r="D323" s="10">
        <f>B323*0/100</f>
        <v>0</v>
      </c>
      <c r="E323" s="10">
        <f>B323*21.5/100</f>
        <v>1.5049999999999999</v>
      </c>
      <c r="F323" s="10">
        <f>B323*110/100</f>
        <v>7.7</v>
      </c>
      <c r="G323" s="7"/>
      <c r="H323" s="1"/>
    </row>
    <row r="324" spans="1:8" x14ac:dyDescent="0.25">
      <c r="A324" s="1" t="s">
        <v>9</v>
      </c>
      <c r="B324" s="8">
        <v>8</v>
      </c>
      <c r="C324" s="11">
        <f>B324*0/100</f>
        <v>0</v>
      </c>
      <c r="D324" s="10">
        <f>B324*0/100</f>
        <v>0</v>
      </c>
      <c r="E324" s="10">
        <f>B324*99.8/100</f>
        <v>7.984</v>
      </c>
      <c r="F324" s="10">
        <f>B324*379/100</f>
        <v>30.32</v>
      </c>
      <c r="G324" s="7"/>
      <c r="H324" s="1"/>
    </row>
    <row r="325" spans="1:8" x14ac:dyDescent="0.25">
      <c r="A325" s="2" t="s">
        <v>14</v>
      </c>
      <c r="B325" s="5"/>
      <c r="C325" s="5">
        <f>C322+C323+C324</f>
        <v>0.23800000000000002</v>
      </c>
      <c r="D325" s="5">
        <f>D322+D323+D324</f>
        <v>0</v>
      </c>
      <c r="E325" s="5">
        <f>E323+E324</f>
        <v>9.4890000000000008</v>
      </c>
      <c r="F325" s="5">
        <f>F323+F324</f>
        <v>38.020000000000003</v>
      </c>
      <c r="G325" s="5">
        <v>200</v>
      </c>
      <c r="H325" s="1"/>
    </row>
    <row r="326" spans="1:8" x14ac:dyDescent="0.25">
      <c r="A326" s="1" t="s">
        <v>12</v>
      </c>
      <c r="B326" s="8">
        <v>35</v>
      </c>
      <c r="C326" s="10">
        <f>B326*7.7/100</f>
        <v>2.6949999999999998</v>
      </c>
      <c r="D326" s="10">
        <f>B326*3/100</f>
        <v>1.05</v>
      </c>
      <c r="E326" s="10">
        <f>B326*49.8/100</f>
        <v>17.43</v>
      </c>
      <c r="F326" s="10">
        <f>B326*262/100</f>
        <v>91.7</v>
      </c>
      <c r="G326" s="5">
        <v>35</v>
      </c>
      <c r="H326" s="1"/>
    </row>
    <row r="327" spans="1:8" x14ac:dyDescent="0.25">
      <c r="A327" s="1" t="s">
        <v>32</v>
      </c>
      <c r="B327" s="8">
        <v>40</v>
      </c>
      <c r="C327" s="10">
        <f>B327*6.6/100</f>
        <v>2.64</v>
      </c>
      <c r="D327" s="10">
        <f>B327*1.2/100</f>
        <v>0.48</v>
      </c>
      <c r="E327" s="10">
        <f>B327*34.2/100</f>
        <v>13.68</v>
      </c>
      <c r="F327" s="10">
        <f>B327*181/100</f>
        <v>72.400000000000006</v>
      </c>
      <c r="G327" s="5">
        <v>40</v>
      </c>
      <c r="H327" s="1"/>
    </row>
    <row r="328" spans="1:8" x14ac:dyDescent="0.25">
      <c r="A328" s="2" t="s">
        <v>141</v>
      </c>
      <c r="B328" s="5"/>
      <c r="C328" s="5">
        <f>C311+C320+C321+C325+C326+C327</f>
        <v>33.669000000000004</v>
      </c>
      <c r="D328" s="5">
        <f>D311+D320+D321+D326+D327</f>
        <v>13.634000000000002</v>
      </c>
      <c r="E328" s="5">
        <f>E311+E320+E321+E326+E327</f>
        <v>59.591999999999999</v>
      </c>
      <c r="F328" s="5">
        <f>F311+F320+F321+F326+F327</f>
        <v>501.65</v>
      </c>
      <c r="G328" s="5">
        <v>660</v>
      </c>
      <c r="H328" s="1"/>
    </row>
    <row r="329" spans="1:8" x14ac:dyDescent="0.25">
      <c r="A329" s="1"/>
      <c r="B329" s="7"/>
      <c r="C329" s="10">
        <f t="shared" si="24"/>
        <v>0</v>
      </c>
      <c r="D329" s="10">
        <f t="shared" si="25"/>
        <v>0</v>
      </c>
      <c r="E329" s="10">
        <f t="shared" si="26"/>
        <v>0</v>
      </c>
      <c r="F329" s="10">
        <f t="shared" si="27"/>
        <v>0</v>
      </c>
      <c r="G329" s="7"/>
      <c r="H329" s="1"/>
    </row>
    <row r="330" spans="1:8" ht="15.75" x14ac:dyDescent="0.25">
      <c r="A330" s="14" t="s">
        <v>187</v>
      </c>
      <c r="B330" s="16"/>
      <c r="C330" s="16">
        <f>C298+C300+C328</f>
        <v>53.078000000000003</v>
      </c>
      <c r="D330" s="16">
        <f>D298+D300+D328</f>
        <v>40.991</v>
      </c>
      <c r="E330" s="16">
        <f>E298+E300+E328</f>
        <v>151.11000000000001</v>
      </c>
      <c r="F330" s="16">
        <f>F298+F300+F328</f>
        <v>1206.4899999999998</v>
      </c>
      <c r="G330" s="5"/>
      <c r="H330" s="1"/>
    </row>
    <row r="331" spans="1:8" x14ac:dyDescent="0.25">
      <c r="A331" s="1"/>
      <c r="B331" s="7"/>
      <c r="C331" s="10"/>
      <c r="D331" s="10"/>
      <c r="E331" s="10"/>
      <c r="F331" s="10"/>
      <c r="G331" s="7"/>
      <c r="H331" s="1"/>
    </row>
    <row r="332" spans="1:8" x14ac:dyDescent="0.25">
      <c r="A332" s="1" t="s">
        <v>36</v>
      </c>
      <c r="B332" s="7"/>
      <c r="C332" s="10"/>
      <c r="D332" s="10"/>
      <c r="E332" s="10"/>
      <c r="F332" s="10"/>
      <c r="G332" s="7"/>
      <c r="H332" s="2" t="s">
        <v>128</v>
      </c>
    </row>
    <row r="333" spans="1:8" x14ac:dyDescent="0.25">
      <c r="A333" s="1" t="s">
        <v>129</v>
      </c>
      <c r="B333" s="7"/>
      <c r="C333" s="10"/>
      <c r="D333" s="10"/>
      <c r="E333" s="10"/>
      <c r="F333" s="10"/>
      <c r="G333" s="7"/>
      <c r="H333" s="1"/>
    </row>
    <row r="334" spans="1:8" x14ac:dyDescent="0.25">
      <c r="A334" s="1" t="s">
        <v>130</v>
      </c>
      <c r="B334" s="8">
        <v>80</v>
      </c>
      <c r="C334" s="10">
        <f>B334*16.7/100</f>
        <v>13.36</v>
      </c>
      <c r="D334" s="10">
        <f>B334*9/100</f>
        <v>7.2</v>
      </c>
      <c r="E334" s="10">
        <f>B334*1.9/100</f>
        <v>1.52</v>
      </c>
      <c r="F334" s="10">
        <f>B334*88/100</f>
        <v>70.400000000000006</v>
      </c>
      <c r="G334" s="7"/>
      <c r="H334" s="1"/>
    </row>
    <row r="335" spans="1:8" x14ac:dyDescent="0.25">
      <c r="A335" s="1" t="s">
        <v>66</v>
      </c>
      <c r="B335" s="8">
        <v>20</v>
      </c>
      <c r="C335" s="10">
        <f>B335*7/100</f>
        <v>1.4</v>
      </c>
      <c r="D335" s="10">
        <f>B335*1/100</f>
        <v>0.2</v>
      </c>
      <c r="E335" s="10">
        <f>B335*71.4/100</f>
        <v>14.28</v>
      </c>
      <c r="F335" s="10">
        <f>B335*330/100</f>
        <v>66</v>
      </c>
      <c r="G335" s="7"/>
      <c r="H335" s="1"/>
    </row>
    <row r="336" spans="1:8" x14ac:dyDescent="0.25">
      <c r="A336" s="1" t="s">
        <v>7</v>
      </c>
      <c r="B336" s="8">
        <v>20</v>
      </c>
      <c r="C336" s="10">
        <f>B336*2.8/100</f>
        <v>0.56000000000000005</v>
      </c>
      <c r="D336" s="10">
        <f>B336*3.5/100</f>
        <v>0.7</v>
      </c>
      <c r="E336" s="10">
        <f>B336*4.7/100</f>
        <v>0.94</v>
      </c>
      <c r="F336" s="10">
        <f>B336*61/100</f>
        <v>12.2</v>
      </c>
      <c r="G336" s="7"/>
      <c r="H336" s="1"/>
    </row>
    <row r="337" spans="1:8" x14ac:dyDescent="0.25">
      <c r="A337" s="1" t="s">
        <v>21</v>
      </c>
      <c r="B337" s="8">
        <v>8</v>
      </c>
      <c r="C337" s="10">
        <f>B337*12.7/100</f>
        <v>1.016</v>
      </c>
      <c r="D337" s="10">
        <f>B337*11.5/100</f>
        <v>0.92</v>
      </c>
      <c r="E337" s="10">
        <f>B337*0.7/100</f>
        <v>5.5999999999999994E-2</v>
      </c>
      <c r="F337" s="10">
        <f>B337*157/100</f>
        <v>12.56</v>
      </c>
      <c r="G337" s="7"/>
      <c r="H337" s="1"/>
    </row>
    <row r="338" spans="1:8" x14ac:dyDescent="0.25">
      <c r="A338" s="1" t="s">
        <v>9</v>
      </c>
      <c r="B338" s="8">
        <v>10</v>
      </c>
      <c r="C338" s="10">
        <f>B338*0/100</f>
        <v>0</v>
      </c>
      <c r="D338" s="10">
        <f>B338*0/100</f>
        <v>0</v>
      </c>
      <c r="E338" s="10">
        <f>B338*99.8/100</f>
        <v>9.98</v>
      </c>
      <c r="F338" s="10">
        <f>B338*379/100</f>
        <v>37.9</v>
      </c>
      <c r="G338" s="7"/>
      <c r="H338" s="1"/>
    </row>
    <row r="339" spans="1:8" x14ac:dyDescent="0.25">
      <c r="A339" s="1" t="s">
        <v>131</v>
      </c>
      <c r="B339" s="8">
        <v>30</v>
      </c>
      <c r="C339" s="10">
        <f>B339*0.4/100</f>
        <v>0.12</v>
      </c>
      <c r="D339" s="10">
        <f>B339*0/100</f>
        <v>0</v>
      </c>
      <c r="E339" s="10">
        <f>B339*63.9/100</f>
        <v>19.170000000000002</v>
      </c>
      <c r="F339" s="10">
        <f>B339*242/100</f>
        <v>72.599999999999994</v>
      </c>
      <c r="G339" s="7"/>
      <c r="H339" s="1"/>
    </row>
    <row r="340" spans="1:8" x14ac:dyDescent="0.25">
      <c r="A340" s="1" t="s">
        <v>57</v>
      </c>
      <c r="B340" s="8">
        <v>2</v>
      </c>
      <c r="C340" s="10">
        <f>B340*0/100</f>
        <v>0</v>
      </c>
      <c r="D340" s="10">
        <f>B340*99.9/100</f>
        <v>1.9980000000000002</v>
      </c>
      <c r="E340" s="10">
        <f>B340*0/100</f>
        <v>0</v>
      </c>
      <c r="F340" s="10">
        <f>B340*899/100</f>
        <v>17.98</v>
      </c>
      <c r="G340" s="7"/>
      <c r="H340" s="1"/>
    </row>
    <row r="341" spans="1:8" x14ac:dyDescent="0.25">
      <c r="A341" s="2" t="s">
        <v>91</v>
      </c>
      <c r="B341" s="5"/>
      <c r="C341" s="5">
        <f>C334+C335+C336+C337+C338+C339+C340</f>
        <v>16.456</v>
      </c>
      <c r="D341" s="5">
        <f>D334+D335+D336+D337+D338+D339+D340</f>
        <v>11.018000000000001</v>
      </c>
      <c r="E341" s="5">
        <f>E334+E335+E336+E337+E338+E339+E340</f>
        <v>45.945999999999998</v>
      </c>
      <c r="F341" s="5">
        <f>F334+F335+F336+F337+F338+F339+F340</f>
        <v>289.64</v>
      </c>
      <c r="G341" s="5" t="s">
        <v>140</v>
      </c>
      <c r="H341" s="1"/>
    </row>
    <row r="342" spans="1:8" x14ac:dyDescent="0.25">
      <c r="A342" s="1" t="s">
        <v>82</v>
      </c>
      <c r="B342" s="7"/>
      <c r="C342" s="10">
        <f t="shared" si="24"/>
        <v>0</v>
      </c>
      <c r="D342" s="10">
        <f t="shared" si="25"/>
        <v>0</v>
      </c>
      <c r="E342" s="10">
        <f t="shared" si="26"/>
        <v>0</v>
      </c>
      <c r="F342" s="10">
        <f t="shared" si="27"/>
        <v>0</v>
      </c>
      <c r="G342" s="7"/>
      <c r="H342" s="1"/>
    </row>
    <row r="343" spans="1:8" x14ac:dyDescent="0.25">
      <c r="A343" s="1" t="s">
        <v>83</v>
      </c>
      <c r="B343" s="8">
        <v>0.3</v>
      </c>
      <c r="C343" s="10">
        <f>B343*0/100</f>
        <v>0</v>
      </c>
      <c r="D343" s="10">
        <f>B343*0/100</f>
        <v>0</v>
      </c>
      <c r="E343" s="10">
        <f>B343*0/100</f>
        <v>0</v>
      </c>
      <c r="F343" s="10">
        <f>B343*0/100</f>
        <v>0</v>
      </c>
      <c r="G343" s="7"/>
      <c r="H343" s="1"/>
    </row>
    <row r="344" spans="1:8" x14ac:dyDescent="0.25">
      <c r="A344" s="1" t="s">
        <v>9</v>
      </c>
      <c r="B344" s="8">
        <v>8</v>
      </c>
      <c r="C344" s="10">
        <f>B344*0/100</f>
        <v>0</v>
      </c>
      <c r="D344" s="10">
        <f>B344*0/100</f>
        <v>0</v>
      </c>
      <c r="E344" s="10">
        <f>B344*99.8/100</f>
        <v>7.984</v>
      </c>
      <c r="F344" s="10">
        <f>B344*379/100</f>
        <v>30.32</v>
      </c>
      <c r="G344" s="7"/>
      <c r="H344" s="1"/>
    </row>
    <row r="345" spans="1:8" x14ac:dyDescent="0.25">
      <c r="A345" s="1" t="s">
        <v>84</v>
      </c>
      <c r="B345" s="8">
        <v>8</v>
      </c>
      <c r="C345" s="10">
        <f>B345*0.9/100</f>
        <v>7.2000000000000008E-2</v>
      </c>
      <c r="D345" s="10">
        <f>B345*0.1/100</f>
        <v>8.0000000000000002E-3</v>
      </c>
      <c r="E345" s="10">
        <f>B345*3/100</f>
        <v>0.24</v>
      </c>
      <c r="F345" s="10">
        <f>B345*33/100</f>
        <v>2.64</v>
      </c>
      <c r="G345" s="7"/>
      <c r="H345" s="1"/>
    </row>
    <row r="346" spans="1:8" x14ac:dyDescent="0.25">
      <c r="A346" s="2" t="s">
        <v>14</v>
      </c>
      <c r="B346" s="5"/>
      <c r="C346" s="5">
        <f>C343+C344+C345</f>
        <v>7.2000000000000008E-2</v>
      </c>
      <c r="D346" s="5">
        <f>D343+D344+D345</f>
        <v>8.0000000000000002E-3</v>
      </c>
      <c r="E346" s="5">
        <f>E343+E344+E345</f>
        <v>8.2240000000000002</v>
      </c>
      <c r="F346" s="5">
        <f>F343+F344+F345</f>
        <v>32.96</v>
      </c>
      <c r="G346" s="5">
        <v>200</v>
      </c>
      <c r="H346" s="1"/>
    </row>
    <row r="347" spans="1:8" x14ac:dyDescent="0.25">
      <c r="A347" s="1" t="s">
        <v>12</v>
      </c>
      <c r="B347" s="8">
        <v>40</v>
      </c>
      <c r="C347" s="10">
        <f>B347*7.7/100</f>
        <v>3.08</v>
      </c>
      <c r="D347" s="10">
        <f>B347*3/100</f>
        <v>1.2</v>
      </c>
      <c r="E347" s="10">
        <f>B347*49.8/100</f>
        <v>19.920000000000002</v>
      </c>
      <c r="F347" s="10">
        <f>B347*262/100</f>
        <v>104.8</v>
      </c>
      <c r="G347" s="5">
        <v>40</v>
      </c>
      <c r="H347" s="1"/>
    </row>
    <row r="348" spans="1:8" x14ac:dyDescent="0.25">
      <c r="A348" s="1" t="s">
        <v>8</v>
      </c>
      <c r="B348" s="8">
        <v>10</v>
      </c>
      <c r="C348" s="10">
        <f>B348*0.7/100</f>
        <v>7.0000000000000007E-2</v>
      </c>
      <c r="D348" s="10">
        <f>B348*72.5/100</f>
        <v>7.25</v>
      </c>
      <c r="E348" s="10">
        <f>B348*1/100</f>
        <v>0.1</v>
      </c>
      <c r="F348" s="10">
        <f>B348*709/100</f>
        <v>70.900000000000006</v>
      </c>
      <c r="G348" s="5">
        <v>10</v>
      </c>
      <c r="H348" s="1"/>
    </row>
    <row r="349" spans="1:8" x14ac:dyDescent="0.25">
      <c r="A349" s="2" t="s">
        <v>118</v>
      </c>
      <c r="B349" s="5"/>
      <c r="C349" s="5">
        <f>C341+C346+C347+C348</f>
        <v>19.677999999999997</v>
      </c>
      <c r="D349" s="5">
        <f>D341+D346+D347+D348</f>
        <v>19.475999999999999</v>
      </c>
      <c r="E349" s="5">
        <f>E341+E346+E347+E348</f>
        <v>74.19</v>
      </c>
      <c r="F349" s="5">
        <f>F341+F346+F347+F348</f>
        <v>498.29999999999995</v>
      </c>
      <c r="G349" s="5">
        <v>425</v>
      </c>
      <c r="H349" s="1"/>
    </row>
    <row r="350" spans="1:8" x14ac:dyDescent="0.25">
      <c r="A350" s="2"/>
      <c r="B350" s="5"/>
      <c r="C350" s="5"/>
      <c r="D350" s="5"/>
      <c r="E350" s="5"/>
      <c r="F350" s="5"/>
      <c r="G350" s="7"/>
      <c r="H350" s="1"/>
    </row>
    <row r="351" spans="1:8" x14ac:dyDescent="0.25">
      <c r="A351" s="2" t="s">
        <v>136</v>
      </c>
      <c r="B351" s="5">
        <v>180</v>
      </c>
      <c r="C351" s="5">
        <f>B351*0.5/100</f>
        <v>0.9</v>
      </c>
      <c r="D351" s="5">
        <f>B351*0/100</f>
        <v>0</v>
      </c>
      <c r="E351" s="5">
        <f>B351*9.1/100</f>
        <v>16.38</v>
      </c>
      <c r="F351" s="5">
        <f>B351*38/100</f>
        <v>68.400000000000006</v>
      </c>
      <c r="G351" s="5">
        <v>180</v>
      </c>
      <c r="H351" s="1"/>
    </row>
    <row r="352" spans="1:8" x14ac:dyDescent="0.25">
      <c r="A352" s="1" t="s">
        <v>33</v>
      </c>
      <c r="B352" s="7"/>
      <c r="C352" s="10">
        <f t="shared" si="24"/>
        <v>0</v>
      </c>
      <c r="D352" s="10">
        <f t="shared" si="25"/>
        <v>0</v>
      </c>
      <c r="E352" s="10">
        <f t="shared" si="26"/>
        <v>0</v>
      </c>
      <c r="F352" s="10">
        <f t="shared" si="27"/>
        <v>0</v>
      </c>
      <c r="G352" s="5"/>
      <c r="H352" s="1"/>
    </row>
    <row r="353" spans="1:8" x14ac:dyDescent="0.25">
      <c r="A353" s="1" t="s">
        <v>133</v>
      </c>
      <c r="B353" s="7"/>
      <c r="C353" s="10">
        <f t="shared" si="24"/>
        <v>0</v>
      </c>
      <c r="D353" s="10">
        <f t="shared" si="25"/>
        <v>0</v>
      </c>
      <c r="E353" s="10">
        <f t="shared" si="26"/>
        <v>0</v>
      </c>
      <c r="F353" s="10">
        <f t="shared" si="27"/>
        <v>0</v>
      </c>
      <c r="G353" s="7"/>
      <c r="H353" s="1"/>
    </row>
    <row r="354" spans="1:8" x14ac:dyDescent="0.25">
      <c r="A354" s="1" t="s">
        <v>18</v>
      </c>
      <c r="B354" s="7"/>
      <c r="C354" s="10">
        <f t="shared" si="24"/>
        <v>0</v>
      </c>
      <c r="D354" s="10">
        <f t="shared" si="25"/>
        <v>0</v>
      </c>
      <c r="E354" s="10">
        <f t="shared" si="26"/>
        <v>0</v>
      </c>
      <c r="F354" s="10">
        <f t="shared" si="27"/>
        <v>0</v>
      </c>
      <c r="G354" s="7"/>
      <c r="H354" s="1"/>
    </row>
    <row r="355" spans="1:8" x14ac:dyDescent="0.25">
      <c r="A355" s="1" t="s">
        <v>15</v>
      </c>
      <c r="B355" s="8">
        <v>40</v>
      </c>
      <c r="C355" s="10">
        <f>B355*2/100</f>
        <v>0.8</v>
      </c>
      <c r="D355" s="10">
        <f>B355*0.4/100</f>
        <v>0.16</v>
      </c>
      <c r="E355" s="10">
        <f>B355*17.3/100</f>
        <v>6.92</v>
      </c>
      <c r="F355" s="10">
        <f>B355*80/100</f>
        <v>32</v>
      </c>
      <c r="G355" s="7"/>
      <c r="H355" s="1"/>
    </row>
    <row r="356" spans="1:8" x14ac:dyDescent="0.25">
      <c r="A356" s="1" t="s">
        <v>26</v>
      </c>
      <c r="B356" s="8">
        <v>25</v>
      </c>
      <c r="C356" s="10">
        <f>B356*1.8/100</f>
        <v>0.45</v>
      </c>
      <c r="D356" s="10">
        <f>B356*0.1/100</f>
        <v>2.5000000000000001E-2</v>
      </c>
      <c r="E356" s="10">
        <f>B356*4.7/100</f>
        <v>1.175</v>
      </c>
      <c r="F356" s="10">
        <f>B356*27/100</f>
        <v>6.75</v>
      </c>
      <c r="G356" s="7"/>
      <c r="H356" s="1"/>
    </row>
    <row r="357" spans="1:8" x14ac:dyDescent="0.25">
      <c r="A357" s="1" t="s">
        <v>97</v>
      </c>
      <c r="B357" s="8">
        <v>15</v>
      </c>
      <c r="C357" s="10">
        <f>B357*3.2/100</f>
        <v>0.48</v>
      </c>
      <c r="D357" s="10">
        <f>B357*0.2/100</f>
        <v>0.03</v>
      </c>
      <c r="E357" s="10">
        <f>B357*6.5/100</f>
        <v>0.97499999999999998</v>
      </c>
      <c r="F357" s="10">
        <f>B357*40/100</f>
        <v>6</v>
      </c>
      <c r="G357" s="7"/>
      <c r="H357" s="1"/>
    </row>
    <row r="358" spans="1:8" x14ac:dyDescent="0.25">
      <c r="A358" s="1" t="s">
        <v>20</v>
      </c>
      <c r="B358" s="8">
        <v>11</v>
      </c>
      <c r="C358" s="10">
        <f>B358*1.4/100</f>
        <v>0.154</v>
      </c>
      <c r="D358" s="10">
        <f>B358*0/100</f>
        <v>0</v>
      </c>
      <c r="E358" s="10">
        <f>B358*9.1/100</f>
        <v>1.0009999999999999</v>
      </c>
      <c r="F358" s="10">
        <f>B358*41/100</f>
        <v>4.51</v>
      </c>
      <c r="G358" s="7"/>
      <c r="H358" s="1"/>
    </row>
    <row r="359" spans="1:8" x14ac:dyDescent="0.25">
      <c r="A359" s="1" t="s">
        <v>16</v>
      </c>
      <c r="B359" s="8">
        <v>11</v>
      </c>
      <c r="C359" s="10">
        <f>B359*1.3/100</f>
        <v>0.14300000000000002</v>
      </c>
      <c r="D359" s="10">
        <f>B359*0.1/100</f>
        <v>1.1000000000000001E-2</v>
      </c>
      <c r="E359" s="10">
        <f>B359*8.4/100</f>
        <v>0.92400000000000004</v>
      </c>
      <c r="F359" s="10">
        <f>B359*34/100</f>
        <v>3.74</v>
      </c>
      <c r="G359" s="7"/>
      <c r="H359" s="1"/>
    </row>
    <row r="360" spans="1:8" x14ac:dyDescent="0.25">
      <c r="A360" s="1" t="s">
        <v>28</v>
      </c>
      <c r="B360" s="8">
        <v>3</v>
      </c>
      <c r="C360" s="10">
        <f>B360*4.8/100</f>
        <v>0.14399999999999999</v>
      </c>
      <c r="D360" s="10">
        <f>B360*0/100</f>
        <v>0</v>
      </c>
      <c r="E360" s="10">
        <f>B360*19/100</f>
        <v>0.56999999999999995</v>
      </c>
      <c r="F360" s="10">
        <f>B360*99/100</f>
        <v>2.97</v>
      </c>
      <c r="G360" s="7"/>
      <c r="H360" s="1"/>
    </row>
    <row r="361" spans="1:8" x14ac:dyDescent="0.25">
      <c r="A361" s="1" t="s">
        <v>132</v>
      </c>
      <c r="B361" s="8">
        <v>3</v>
      </c>
      <c r="C361" s="10">
        <f>B361*0.7/100</f>
        <v>2.0999999999999998E-2</v>
      </c>
      <c r="D361" s="10">
        <f>B361*72.5/100</f>
        <v>2.1749999999999998</v>
      </c>
      <c r="E361" s="10">
        <f>B361*1/100</f>
        <v>0.03</v>
      </c>
      <c r="F361" s="10">
        <f>B361*709/100</f>
        <v>21.27</v>
      </c>
      <c r="G361" s="7"/>
      <c r="H361" s="1"/>
    </row>
    <row r="362" spans="1:8" x14ac:dyDescent="0.25">
      <c r="A362" s="1" t="s">
        <v>69</v>
      </c>
      <c r="B362" s="8">
        <v>5</v>
      </c>
      <c r="C362" s="10">
        <f>B362*2.8/100</f>
        <v>0.14000000000000001</v>
      </c>
      <c r="D362" s="10">
        <f>B362*15/100</f>
        <v>0.75</v>
      </c>
      <c r="E362" s="10">
        <f>B362*3.2/100</f>
        <v>0.16</v>
      </c>
      <c r="F362" s="10">
        <f>B362*206/100</f>
        <v>10.3</v>
      </c>
      <c r="G362" s="7"/>
      <c r="H362" s="1"/>
    </row>
    <row r="363" spans="1:8" x14ac:dyDescent="0.25">
      <c r="A363" s="2" t="s">
        <v>14</v>
      </c>
      <c r="B363" s="5"/>
      <c r="C363" s="5">
        <f>C355+C356+C357+C358+C359+C360+C361+C362</f>
        <v>2.3320000000000003</v>
      </c>
      <c r="D363" s="5">
        <f>D355+D356+D357+D358+D359+D360+D361+D362</f>
        <v>3.1509999999999998</v>
      </c>
      <c r="E363" s="5">
        <f>E355+E356+E357+E358+E359+E360+E361+E362</f>
        <v>11.754999999999999</v>
      </c>
      <c r="F363" s="5">
        <f>F355+F356+F357+F358+F359+F360+F361+F362</f>
        <v>87.539999999999992</v>
      </c>
      <c r="G363" s="5" t="s">
        <v>47</v>
      </c>
      <c r="H363" s="1"/>
    </row>
    <row r="364" spans="1:8" x14ac:dyDescent="0.25">
      <c r="A364" s="1" t="s">
        <v>134</v>
      </c>
      <c r="B364" s="7"/>
      <c r="C364" s="10">
        <f t="shared" si="24"/>
        <v>0</v>
      </c>
      <c r="D364" s="10">
        <f t="shared" si="25"/>
        <v>0</v>
      </c>
      <c r="E364" s="10">
        <f t="shared" si="26"/>
        <v>0</v>
      </c>
      <c r="F364" s="10">
        <f t="shared" si="27"/>
        <v>0</v>
      </c>
      <c r="G364" s="7"/>
      <c r="H364" s="1"/>
    </row>
    <row r="365" spans="1:8" x14ac:dyDescent="0.25">
      <c r="A365" s="2" t="s">
        <v>135</v>
      </c>
      <c r="B365" s="5">
        <v>100</v>
      </c>
      <c r="C365" s="5">
        <f>B365*18.6/100</f>
        <v>18.600000000000001</v>
      </c>
      <c r="D365" s="5">
        <f>B365*18.4/100</f>
        <v>18.399999999999999</v>
      </c>
      <c r="E365" s="5">
        <f>B365*0.7/100</f>
        <v>0.7</v>
      </c>
      <c r="F365" s="5">
        <f>B365*241/100</f>
        <v>241</v>
      </c>
      <c r="G365" s="5">
        <v>50</v>
      </c>
      <c r="H365" s="1"/>
    </row>
    <row r="366" spans="1:8" x14ac:dyDescent="0.25">
      <c r="A366" s="1" t="s">
        <v>137</v>
      </c>
      <c r="B366" s="7"/>
      <c r="C366" s="10">
        <f t="shared" si="24"/>
        <v>0</v>
      </c>
      <c r="D366" s="10">
        <f t="shared" si="25"/>
        <v>0</v>
      </c>
      <c r="E366" s="10">
        <f t="shared" si="26"/>
        <v>0</v>
      </c>
      <c r="F366" s="10">
        <f t="shared" si="27"/>
        <v>0</v>
      </c>
      <c r="G366" s="7"/>
      <c r="H366" s="1"/>
    </row>
    <row r="367" spans="1:8" x14ac:dyDescent="0.25">
      <c r="A367" s="1" t="s">
        <v>137</v>
      </c>
      <c r="B367" s="8">
        <v>38</v>
      </c>
      <c r="C367" s="10">
        <f>B367*10.4/100</f>
        <v>3.952</v>
      </c>
      <c r="D367" s="10">
        <f>B367*1.1/100</f>
        <v>0.41800000000000004</v>
      </c>
      <c r="E367" s="10">
        <f>B367*69.7/100</f>
        <v>26.486000000000001</v>
      </c>
      <c r="F367" s="10">
        <f>B367*337/100</f>
        <v>128.06</v>
      </c>
      <c r="G367" s="7"/>
      <c r="H367" s="1"/>
    </row>
    <row r="368" spans="1:8" x14ac:dyDescent="0.25">
      <c r="A368" s="1" t="s">
        <v>132</v>
      </c>
      <c r="B368" s="7">
        <v>2</v>
      </c>
      <c r="C368" s="10">
        <f>B368*0.7/100</f>
        <v>1.3999999999999999E-2</v>
      </c>
      <c r="D368" s="10">
        <f>B368*72.5/100</f>
        <v>1.45</v>
      </c>
      <c r="E368" s="10">
        <f>B368*1/100</f>
        <v>0.02</v>
      </c>
      <c r="F368" s="10">
        <f>B368*709/100</f>
        <v>14.18</v>
      </c>
      <c r="G368" s="7"/>
      <c r="H368" s="1"/>
    </row>
    <row r="369" spans="1:8" x14ac:dyDescent="0.25">
      <c r="A369" s="2" t="s">
        <v>14</v>
      </c>
      <c r="B369" s="5"/>
      <c r="C369" s="5">
        <f>C367+C368</f>
        <v>3.9659999999999997</v>
      </c>
      <c r="D369" s="5">
        <f>D367+D368</f>
        <v>1.8679999999999999</v>
      </c>
      <c r="E369" s="5">
        <f>E367+E368</f>
        <v>26.506</v>
      </c>
      <c r="F369" s="5">
        <f>F367+F368</f>
        <v>142.24</v>
      </c>
      <c r="G369" s="5">
        <v>100</v>
      </c>
      <c r="H369" s="1"/>
    </row>
    <row r="370" spans="1:8" x14ac:dyDescent="0.25">
      <c r="A370" s="1" t="s">
        <v>87</v>
      </c>
      <c r="B370" s="7"/>
      <c r="C370" s="10">
        <f t="shared" ref="C370:C429" si="28">B370*1.5/100</f>
        <v>0</v>
      </c>
      <c r="D370" s="10">
        <f t="shared" ref="D370:D389" si="29">B370*0.1/100</f>
        <v>0</v>
      </c>
      <c r="E370" s="10">
        <f t="shared" ref="E370:E394" si="30">B370*19.2/100</f>
        <v>0</v>
      </c>
      <c r="F370" s="10">
        <f t="shared" ref="F370:F423" si="31">B370*89/100</f>
        <v>0</v>
      </c>
      <c r="G370" s="7"/>
      <c r="H370" s="1"/>
    </row>
    <row r="371" spans="1:8" x14ac:dyDescent="0.25">
      <c r="A371" s="1" t="s">
        <v>88</v>
      </c>
      <c r="B371" s="8">
        <v>7</v>
      </c>
      <c r="C371" s="10">
        <f>B371*3/100</f>
        <v>0.21</v>
      </c>
      <c r="D371" s="10">
        <f>B371*0/100</f>
        <v>0</v>
      </c>
      <c r="E371" s="10">
        <f>B371*21.5/100</f>
        <v>1.5049999999999999</v>
      </c>
      <c r="F371" s="10">
        <f>B371*110/100</f>
        <v>7.7</v>
      </c>
      <c r="G371" s="7"/>
      <c r="H371" s="1"/>
    </row>
    <row r="372" spans="1:8" x14ac:dyDescent="0.25">
      <c r="A372" s="1" t="s">
        <v>9</v>
      </c>
      <c r="B372" s="8">
        <v>8</v>
      </c>
      <c r="C372" s="10">
        <f>B372*0/100</f>
        <v>0</v>
      </c>
      <c r="D372" s="10">
        <f>B372*0/100</f>
        <v>0</v>
      </c>
      <c r="E372" s="10">
        <f>B372*99.8/100</f>
        <v>7.984</v>
      </c>
      <c r="F372" s="10">
        <f>B372*379/100</f>
        <v>30.32</v>
      </c>
      <c r="G372" s="7"/>
      <c r="H372" s="1"/>
    </row>
    <row r="373" spans="1:8" x14ac:dyDescent="0.25">
      <c r="A373" s="2" t="s">
        <v>14</v>
      </c>
      <c r="B373" s="5"/>
      <c r="C373" s="5">
        <f>C371+C372</f>
        <v>0.21</v>
      </c>
      <c r="D373" s="5">
        <f t="shared" si="29"/>
        <v>0</v>
      </c>
      <c r="E373" s="5">
        <f>E371+E372</f>
        <v>9.4890000000000008</v>
      </c>
      <c r="F373" s="5">
        <f>F371+F372</f>
        <v>38.020000000000003</v>
      </c>
      <c r="G373" s="5">
        <v>200</v>
      </c>
      <c r="H373" s="1"/>
    </row>
    <row r="374" spans="1:8" x14ac:dyDescent="0.25">
      <c r="A374" s="1" t="s">
        <v>138</v>
      </c>
      <c r="B374" s="5">
        <v>62</v>
      </c>
      <c r="C374" s="5">
        <f>B374*0.8/100</f>
        <v>0.496</v>
      </c>
      <c r="D374" s="5">
        <f>B374*4/100</f>
        <v>2.48</v>
      </c>
      <c r="E374" s="5">
        <f>B374*4.3/100</f>
        <v>2.6659999999999995</v>
      </c>
      <c r="F374" s="5">
        <f>B374*55/100</f>
        <v>34.1</v>
      </c>
      <c r="G374" s="5">
        <v>60</v>
      </c>
      <c r="H374" s="1"/>
    </row>
    <row r="375" spans="1:8" x14ac:dyDescent="0.25">
      <c r="A375" s="1" t="s">
        <v>12</v>
      </c>
      <c r="B375" s="7">
        <v>35</v>
      </c>
      <c r="C375" s="10">
        <f>B375*7.7/100</f>
        <v>2.6949999999999998</v>
      </c>
      <c r="D375" s="10">
        <f>B375*3/100</f>
        <v>1.05</v>
      </c>
      <c r="E375" s="10">
        <f>B375*49.8/100</f>
        <v>17.43</v>
      </c>
      <c r="F375" s="10">
        <f>B375*262/100</f>
        <v>91.7</v>
      </c>
      <c r="G375" s="5">
        <v>35</v>
      </c>
      <c r="H375" s="1"/>
    </row>
    <row r="376" spans="1:8" x14ac:dyDescent="0.25">
      <c r="A376" s="1" t="s">
        <v>32</v>
      </c>
      <c r="B376" s="7">
        <v>40</v>
      </c>
      <c r="C376" s="10">
        <f>B376*6.6/100</f>
        <v>2.64</v>
      </c>
      <c r="D376" s="10">
        <f>B376*1.2/100</f>
        <v>0.48</v>
      </c>
      <c r="E376" s="10">
        <f>B376*34.2/100</f>
        <v>13.68</v>
      </c>
      <c r="F376" s="10">
        <f>B376*181/100</f>
        <v>72.400000000000006</v>
      </c>
      <c r="G376" s="5">
        <v>40</v>
      </c>
      <c r="H376" s="1"/>
    </row>
    <row r="377" spans="1:8" x14ac:dyDescent="0.25">
      <c r="A377" s="2" t="s">
        <v>76</v>
      </c>
      <c r="B377" s="5"/>
      <c r="C377" s="5">
        <f>C363+C365+C369+C373+C374+C375+C376</f>
        <v>30.939000000000004</v>
      </c>
      <c r="D377" s="5">
        <f>D363+D365+D369+D374+D375+D376</f>
        <v>27.428999999999998</v>
      </c>
      <c r="E377" s="5">
        <f>E363+E369+E373+E374+E375+E376</f>
        <v>81.52600000000001</v>
      </c>
      <c r="F377" s="5">
        <f>F363+F369+F373+F374+F375+F376</f>
        <v>466</v>
      </c>
      <c r="G377" s="7"/>
      <c r="H377" s="1"/>
    </row>
    <row r="378" spans="1:8" x14ac:dyDescent="0.25">
      <c r="A378" s="1"/>
      <c r="B378" s="7"/>
      <c r="C378" s="10">
        <f t="shared" si="28"/>
        <v>0</v>
      </c>
      <c r="D378" s="10">
        <f t="shared" si="29"/>
        <v>0</v>
      </c>
      <c r="E378" s="10">
        <f t="shared" si="30"/>
        <v>0</v>
      </c>
      <c r="F378" s="10">
        <f t="shared" si="31"/>
        <v>0</v>
      </c>
      <c r="G378" s="7"/>
      <c r="H378" s="1"/>
    </row>
    <row r="379" spans="1:8" ht="15.75" x14ac:dyDescent="0.25">
      <c r="A379" s="14" t="s">
        <v>139</v>
      </c>
      <c r="B379" s="16"/>
      <c r="C379" s="16">
        <f>C349+C351+C377</f>
        <v>51.516999999999996</v>
      </c>
      <c r="D379" s="16">
        <f>D349+D351+D377</f>
        <v>46.905000000000001</v>
      </c>
      <c r="E379" s="16">
        <f>E349+E351+E377</f>
        <v>172.096</v>
      </c>
      <c r="F379" s="16">
        <f>F349+F351+F377</f>
        <v>1032.6999999999998</v>
      </c>
      <c r="G379" s="5">
        <v>690</v>
      </c>
      <c r="H379" s="1"/>
    </row>
    <row r="380" spans="1:8" x14ac:dyDescent="0.25">
      <c r="A380" s="1"/>
      <c r="B380" s="7"/>
      <c r="C380" s="10"/>
      <c r="D380" s="10"/>
      <c r="E380" s="10"/>
      <c r="F380" s="10"/>
      <c r="G380" s="7"/>
      <c r="H380" s="1"/>
    </row>
    <row r="381" spans="1:8" x14ac:dyDescent="0.25">
      <c r="A381" s="1"/>
      <c r="B381" s="7"/>
      <c r="C381" s="10"/>
      <c r="D381" s="10"/>
      <c r="E381" s="10"/>
      <c r="F381" s="10"/>
      <c r="G381" s="5" t="s">
        <v>142</v>
      </c>
      <c r="H381" s="1"/>
    </row>
    <row r="382" spans="1:8" x14ac:dyDescent="0.25">
      <c r="A382" s="1" t="s">
        <v>36</v>
      </c>
      <c r="B382" s="7"/>
      <c r="C382" s="10"/>
      <c r="D382" s="10"/>
      <c r="E382" s="10"/>
      <c r="F382" s="10"/>
      <c r="G382" s="7"/>
      <c r="H382" s="1"/>
    </row>
    <row r="383" spans="1:8" x14ac:dyDescent="0.25">
      <c r="A383" s="1" t="s">
        <v>143</v>
      </c>
      <c r="B383" s="7"/>
      <c r="C383" s="10"/>
      <c r="D383" s="10"/>
      <c r="E383" s="10"/>
      <c r="F383" s="10"/>
      <c r="G383" s="7"/>
      <c r="H383" s="1"/>
    </row>
    <row r="384" spans="1:8" x14ac:dyDescent="0.25">
      <c r="A384" s="1" t="s">
        <v>66</v>
      </c>
      <c r="B384" s="8">
        <v>25</v>
      </c>
      <c r="C384" s="10">
        <f>B384*7/100</f>
        <v>1.75</v>
      </c>
      <c r="D384" s="10">
        <f>B384*1/100</f>
        <v>0.25</v>
      </c>
      <c r="E384" s="10">
        <f>B384*71.4/100</f>
        <v>17.850000000000001</v>
      </c>
      <c r="F384" s="10">
        <f>B384*330/100</f>
        <v>82.5</v>
      </c>
      <c r="G384" s="7"/>
      <c r="H384" s="1"/>
    </row>
    <row r="385" spans="1:8" x14ac:dyDescent="0.25">
      <c r="A385" s="1" t="s">
        <v>7</v>
      </c>
      <c r="B385" s="8">
        <v>100</v>
      </c>
      <c r="C385" s="10">
        <f>B385*2.8/100</f>
        <v>2.8</v>
      </c>
      <c r="D385" s="10">
        <f>B385*3.5/100</f>
        <v>3.5</v>
      </c>
      <c r="E385" s="10">
        <f>B385*4.7/100</f>
        <v>4.7</v>
      </c>
      <c r="F385" s="10">
        <f>B385*61/100</f>
        <v>61</v>
      </c>
      <c r="G385" s="7"/>
      <c r="H385" s="1"/>
    </row>
    <row r="386" spans="1:8" x14ac:dyDescent="0.25">
      <c r="A386" s="1" t="s">
        <v>9</v>
      </c>
      <c r="B386" s="8">
        <v>5</v>
      </c>
      <c r="C386" s="10">
        <f>B386*0/100</f>
        <v>0</v>
      </c>
      <c r="D386" s="10">
        <f>B386*0/100</f>
        <v>0</v>
      </c>
      <c r="E386" s="10">
        <f>B386*99.8/100</f>
        <v>4.99</v>
      </c>
      <c r="F386" s="10">
        <f>B386*379/100</f>
        <v>18.95</v>
      </c>
      <c r="G386" s="5"/>
      <c r="H386" s="1"/>
    </row>
    <row r="387" spans="1:8" x14ac:dyDescent="0.25">
      <c r="A387" s="1" t="s">
        <v>8</v>
      </c>
      <c r="B387" s="8">
        <v>3</v>
      </c>
      <c r="C387" s="10">
        <f>B387*0.7/100</f>
        <v>2.0999999999999998E-2</v>
      </c>
      <c r="D387" s="10">
        <f>B387*72.5/100</f>
        <v>2.1749999999999998</v>
      </c>
      <c r="E387" s="10">
        <f>B387*1/100</f>
        <v>0.03</v>
      </c>
      <c r="F387" s="10">
        <f>B387*709/100</f>
        <v>21.27</v>
      </c>
      <c r="G387" s="5"/>
      <c r="H387" s="1"/>
    </row>
    <row r="388" spans="1:8" x14ac:dyDescent="0.25">
      <c r="A388" s="2" t="s">
        <v>14</v>
      </c>
      <c r="B388" s="5"/>
      <c r="C388" s="5">
        <f>C384+C385+C386+C387</f>
        <v>4.5709999999999997</v>
      </c>
      <c r="D388" s="5">
        <f>D384+D385+D386+D387</f>
        <v>5.9249999999999998</v>
      </c>
      <c r="E388" s="5">
        <f>E384+E385+E386+E387</f>
        <v>27.57</v>
      </c>
      <c r="F388" s="5">
        <f>F384+F385+F386+F387</f>
        <v>183.72</v>
      </c>
      <c r="G388" s="5">
        <v>200</v>
      </c>
      <c r="H388" s="1"/>
    </row>
    <row r="389" spans="1:8" x14ac:dyDescent="0.25">
      <c r="A389" s="1" t="s">
        <v>144</v>
      </c>
      <c r="B389" s="7"/>
      <c r="C389" s="10">
        <f t="shared" si="28"/>
        <v>0</v>
      </c>
      <c r="D389" s="10">
        <f t="shared" si="29"/>
        <v>0</v>
      </c>
      <c r="E389" s="10">
        <f t="shared" si="30"/>
        <v>0</v>
      </c>
      <c r="F389" s="10">
        <f t="shared" si="31"/>
        <v>0</v>
      </c>
      <c r="G389" s="5"/>
      <c r="H389" s="1"/>
    </row>
    <row r="390" spans="1:8" x14ac:dyDescent="0.25">
      <c r="A390" s="1" t="s">
        <v>39</v>
      </c>
      <c r="B390" s="8">
        <v>2</v>
      </c>
      <c r="C390" s="10">
        <f>B390*24.2/100</f>
        <v>0.48399999999999999</v>
      </c>
      <c r="D390" s="10">
        <f>B390*17.5/100</f>
        <v>0.35</v>
      </c>
      <c r="E390" s="10">
        <f>B390*27.9/100</f>
        <v>0.55799999999999994</v>
      </c>
      <c r="F390" s="10">
        <f>B390*373/100</f>
        <v>7.46</v>
      </c>
      <c r="G390" s="5"/>
      <c r="H390" s="1"/>
    </row>
    <row r="391" spans="1:8" x14ac:dyDescent="0.25">
      <c r="A391" s="1" t="s">
        <v>7</v>
      </c>
      <c r="B391" s="8">
        <v>100</v>
      </c>
      <c r="C391" s="10">
        <f>B391*2.8/100</f>
        <v>2.8</v>
      </c>
      <c r="D391" s="10">
        <f>B391*3.5/100</f>
        <v>3.5</v>
      </c>
      <c r="E391" s="10">
        <f>B391*4.7/100</f>
        <v>4.7</v>
      </c>
      <c r="F391" s="10">
        <f>B391*61/100</f>
        <v>61</v>
      </c>
      <c r="G391" s="5"/>
      <c r="H391" s="1"/>
    </row>
    <row r="392" spans="1:8" x14ac:dyDescent="0.25">
      <c r="A392" s="1" t="s">
        <v>9</v>
      </c>
      <c r="B392" s="8">
        <v>8</v>
      </c>
      <c r="C392" s="10">
        <f>B392*0/100</f>
        <v>0</v>
      </c>
      <c r="D392" s="10">
        <f>B392*0/100</f>
        <v>0</v>
      </c>
      <c r="E392" s="10">
        <f>B392*99.8/100</f>
        <v>7.984</v>
      </c>
      <c r="F392" s="10">
        <f>B392*379/100</f>
        <v>30.32</v>
      </c>
      <c r="G392" s="5"/>
      <c r="H392" s="1"/>
    </row>
    <row r="393" spans="1:8" x14ac:dyDescent="0.25">
      <c r="A393" s="2" t="s">
        <v>14</v>
      </c>
      <c r="B393" s="5"/>
      <c r="C393" s="5">
        <f>C390+C391+C392</f>
        <v>3.2839999999999998</v>
      </c>
      <c r="D393" s="5">
        <f>D390+D391+D392</f>
        <v>3.85</v>
      </c>
      <c r="E393" s="5">
        <f>E390+E391+E392</f>
        <v>13.242000000000001</v>
      </c>
      <c r="F393" s="5">
        <f>F390+F391+F392</f>
        <v>98.78</v>
      </c>
      <c r="G393" s="5">
        <v>200</v>
      </c>
      <c r="H393" s="1"/>
    </row>
    <row r="394" spans="1:8" x14ac:dyDescent="0.25">
      <c r="A394" s="1" t="s">
        <v>21</v>
      </c>
      <c r="B394" s="7">
        <v>40</v>
      </c>
      <c r="C394" s="10">
        <f>B394*12.7/100</f>
        <v>5.08</v>
      </c>
      <c r="D394" s="10">
        <f>B394*11.5/100</f>
        <v>4.5999999999999996</v>
      </c>
      <c r="E394" s="10">
        <f t="shared" si="30"/>
        <v>7.68</v>
      </c>
      <c r="F394" s="10">
        <f>B394*157/100</f>
        <v>62.8</v>
      </c>
      <c r="G394" s="5">
        <v>40</v>
      </c>
      <c r="H394" s="1"/>
    </row>
    <row r="395" spans="1:8" x14ac:dyDescent="0.25">
      <c r="A395" s="1" t="s">
        <v>12</v>
      </c>
      <c r="B395" s="7">
        <v>40</v>
      </c>
      <c r="C395" s="10">
        <f>B395*7.7/100</f>
        <v>3.08</v>
      </c>
      <c r="D395" s="10">
        <f>B395*3/100</f>
        <v>1.2</v>
      </c>
      <c r="E395" s="7">
        <f>B395*49.8/100</f>
        <v>19.920000000000002</v>
      </c>
      <c r="F395" s="10">
        <f>B395*262/100</f>
        <v>104.8</v>
      </c>
      <c r="G395" s="5">
        <v>40</v>
      </c>
      <c r="H395" s="1"/>
    </row>
    <row r="396" spans="1:8" x14ac:dyDescent="0.25">
      <c r="A396" s="1" t="s">
        <v>8</v>
      </c>
      <c r="B396" s="7">
        <v>8</v>
      </c>
      <c r="C396" s="10">
        <f>B396*0.7/100</f>
        <v>5.5999999999999994E-2</v>
      </c>
      <c r="D396" s="10">
        <f>B396*72.5/100</f>
        <v>5.8</v>
      </c>
      <c r="E396" s="7">
        <f>B396*1/100</f>
        <v>0.08</v>
      </c>
      <c r="F396" s="10">
        <f>B396*709/100</f>
        <v>56.72</v>
      </c>
      <c r="G396" s="5">
        <v>10</v>
      </c>
      <c r="H396" s="1"/>
    </row>
    <row r="397" spans="1:8" x14ac:dyDescent="0.25">
      <c r="A397" s="2" t="s">
        <v>118</v>
      </c>
      <c r="B397" s="5"/>
      <c r="C397" s="5">
        <f>C388+C393+C394+C395+C396</f>
        <v>16.071000000000002</v>
      </c>
      <c r="D397" s="5">
        <f>D388+D393+D394+D395+D396</f>
        <v>21.375</v>
      </c>
      <c r="E397" s="5">
        <f>E388+E393+E394+E395+E396</f>
        <v>68.492000000000004</v>
      </c>
      <c r="F397" s="5">
        <f>F388+F393+F394+F395+F396</f>
        <v>506.82000000000005</v>
      </c>
      <c r="G397" s="5">
        <v>490</v>
      </c>
      <c r="H397" s="1"/>
    </row>
    <row r="398" spans="1:8" x14ac:dyDescent="0.25">
      <c r="A398" s="1"/>
      <c r="B398" s="7"/>
      <c r="C398" s="10">
        <f t="shared" si="28"/>
        <v>0</v>
      </c>
      <c r="D398" s="10">
        <f t="shared" ref="D398:D457" si="32">B398*72.5/100</f>
        <v>0</v>
      </c>
      <c r="E398" s="7">
        <f t="shared" ref="E398:E457" si="33">B398*49.8/100</f>
        <v>0</v>
      </c>
      <c r="F398" s="10">
        <f t="shared" si="31"/>
        <v>0</v>
      </c>
      <c r="G398" s="5"/>
      <c r="H398" s="1"/>
    </row>
    <row r="399" spans="1:8" x14ac:dyDescent="0.25">
      <c r="A399" s="2" t="s">
        <v>145</v>
      </c>
      <c r="B399" s="5">
        <v>120</v>
      </c>
      <c r="C399" s="5">
        <f>B399*0.9/100</f>
        <v>1.08</v>
      </c>
      <c r="D399" s="5">
        <f>B399*0.2/100</f>
        <v>0.24</v>
      </c>
      <c r="E399" s="5">
        <f>B399*8.1/100</f>
        <v>9.7200000000000006</v>
      </c>
      <c r="F399" s="5">
        <f>B399*40/100</f>
        <v>48</v>
      </c>
      <c r="G399" s="5">
        <v>120</v>
      </c>
      <c r="H399" s="1"/>
    </row>
    <row r="400" spans="1:8" x14ac:dyDescent="0.25">
      <c r="A400" s="1"/>
      <c r="B400" s="7"/>
      <c r="C400" s="10">
        <f t="shared" si="28"/>
        <v>0</v>
      </c>
      <c r="D400" s="10">
        <f t="shared" si="32"/>
        <v>0</v>
      </c>
      <c r="E400" s="7">
        <f t="shared" si="33"/>
        <v>0</v>
      </c>
      <c r="F400" s="10">
        <f t="shared" si="31"/>
        <v>0</v>
      </c>
      <c r="G400" s="7"/>
      <c r="H400" s="1"/>
    </row>
    <row r="401" spans="1:8" x14ac:dyDescent="0.25">
      <c r="A401" s="1" t="s">
        <v>33</v>
      </c>
      <c r="B401" s="7"/>
      <c r="C401" s="10">
        <f t="shared" si="28"/>
        <v>0</v>
      </c>
      <c r="D401" s="10">
        <f t="shared" si="32"/>
        <v>0</v>
      </c>
      <c r="E401" s="7">
        <f t="shared" si="33"/>
        <v>0</v>
      </c>
      <c r="F401" s="10">
        <f t="shared" si="31"/>
        <v>0</v>
      </c>
      <c r="G401" s="7"/>
      <c r="H401" s="1"/>
    </row>
    <row r="402" spans="1:8" x14ac:dyDescent="0.25">
      <c r="A402" s="1" t="s">
        <v>146</v>
      </c>
      <c r="B402" s="7"/>
      <c r="C402" s="10">
        <f t="shared" si="28"/>
        <v>0</v>
      </c>
      <c r="D402" s="10">
        <f t="shared" si="32"/>
        <v>0</v>
      </c>
      <c r="E402" s="7">
        <f t="shared" si="33"/>
        <v>0</v>
      </c>
      <c r="F402" s="10">
        <f t="shared" si="31"/>
        <v>0</v>
      </c>
      <c r="G402" s="7"/>
      <c r="H402" s="1"/>
    </row>
    <row r="403" spans="1:8" x14ac:dyDescent="0.25">
      <c r="A403" s="1" t="s">
        <v>147</v>
      </c>
      <c r="B403" s="8">
        <v>20</v>
      </c>
      <c r="C403" s="10">
        <f>B403*18.6/100</f>
        <v>3.72</v>
      </c>
      <c r="D403" s="10">
        <f>B403*16/100</f>
        <v>3.2</v>
      </c>
      <c r="E403" s="7">
        <f>B403*0/100</f>
        <v>0</v>
      </c>
      <c r="F403" s="10">
        <f>B403*218/100</f>
        <v>43.6</v>
      </c>
      <c r="G403" s="7"/>
      <c r="H403" s="1"/>
    </row>
    <row r="404" spans="1:8" x14ac:dyDescent="0.25">
      <c r="A404" s="1" t="s">
        <v>148</v>
      </c>
      <c r="B404" s="8">
        <v>15</v>
      </c>
      <c r="C404" s="10">
        <f>B404*23/100</f>
        <v>3.45</v>
      </c>
      <c r="D404" s="10">
        <f>B404*1.6/100</f>
        <v>0.24</v>
      </c>
      <c r="E404" s="7">
        <f>B404*53.3/100</f>
        <v>7.9950000000000001</v>
      </c>
      <c r="F404" s="10">
        <f>B404*323/100</f>
        <v>48.45</v>
      </c>
      <c r="G404" s="7"/>
      <c r="H404" s="1"/>
    </row>
    <row r="405" spans="1:8" x14ac:dyDescent="0.25">
      <c r="A405" s="1" t="s">
        <v>15</v>
      </c>
      <c r="B405" s="8">
        <v>40</v>
      </c>
      <c r="C405" s="10">
        <f>B405*2/100</f>
        <v>0.8</v>
      </c>
      <c r="D405" s="10">
        <f>B405*0.4/100</f>
        <v>0.16</v>
      </c>
      <c r="E405" s="7">
        <f>B405*17.3/100</f>
        <v>6.92</v>
      </c>
      <c r="F405" s="10">
        <f>B405*80/100</f>
        <v>32</v>
      </c>
      <c r="G405" s="7"/>
      <c r="H405" s="1"/>
    </row>
    <row r="406" spans="1:8" x14ac:dyDescent="0.25">
      <c r="A406" s="1" t="s">
        <v>20</v>
      </c>
      <c r="B406" s="8">
        <v>11</v>
      </c>
      <c r="C406" s="10">
        <f>B406*1.4/100</f>
        <v>0.154</v>
      </c>
      <c r="D406" s="10">
        <f>B406*0/100</f>
        <v>0</v>
      </c>
      <c r="E406" s="7">
        <f>B406*9.1/100</f>
        <v>1.0009999999999999</v>
      </c>
      <c r="F406" s="10">
        <f>B406*41/100</f>
        <v>4.51</v>
      </c>
      <c r="G406" s="7"/>
      <c r="H406" s="1"/>
    </row>
    <row r="407" spans="1:8" x14ac:dyDescent="0.25">
      <c r="A407" s="1" t="s">
        <v>16</v>
      </c>
      <c r="B407" s="8">
        <v>11</v>
      </c>
      <c r="C407" s="10">
        <f>B407*1.3/100</f>
        <v>0.14300000000000002</v>
      </c>
      <c r="D407" s="10">
        <f>B407*0.1/100</f>
        <v>1.1000000000000001E-2</v>
      </c>
      <c r="E407" s="7">
        <f>B407*8.4/100</f>
        <v>0.92400000000000004</v>
      </c>
      <c r="F407" s="10">
        <f>B407*34/100</f>
        <v>3.74</v>
      </c>
      <c r="G407" s="7"/>
      <c r="H407" s="1"/>
    </row>
    <row r="408" spans="1:8" x14ac:dyDescent="0.25">
      <c r="A408" s="1" t="s">
        <v>8</v>
      </c>
      <c r="B408" s="8">
        <v>2</v>
      </c>
      <c r="C408" s="10">
        <f>B408*0.7/100</f>
        <v>1.3999999999999999E-2</v>
      </c>
      <c r="D408" s="10">
        <f t="shared" si="32"/>
        <v>1.45</v>
      </c>
      <c r="E408" s="7">
        <f>B408*1/100</f>
        <v>0.02</v>
      </c>
      <c r="F408" s="10">
        <f>B408*709/100</f>
        <v>14.18</v>
      </c>
      <c r="G408" s="5"/>
      <c r="H408" s="1"/>
    </row>
    <row r="409" spans="1:8" x14ac:dyDescent="0.25">
      <c r="A409" s="2" t="s">
        <v>14</v>
      </c>
      <c r="B409" s="5"/>
      <c r="C409" s="5">
        <f>C403+C404+C405+C406+C407+C408</f>
        <v>8.2810000000000006</v>
      </c>
      <c r="D409" s="5">
        <f>D403+D404+D405+D406+D407+D408</f>
        <v>5.0610000000000008</v>
      </c>
      <c r="E409" s="5">
        <f>E403+E404+E405+E406+E407+E408</f>
        <v>16.86</v>
      </c>
      <c r="F409" s="5">
        <f>F403+F404+F405+F406+F407+F408</f>
        <v>146.48000000000002</v>
      </c>
      <c r="G409" s="5">
        <v>200</v>
      </c>
      <c r="H409" s="1"/>
    </row>
    <row r="410" spans="1:8" x14ac:dyDescent="0.25">
      <c r="A410" s="1" t="s">
        <v>149</v>
      </c>
      <c r="B410" s="7"/>
      <c r="C410" s="10">
        <f t="shared" si="28"/>
        <v>0</v>
      </c>
      <c r="D410" s="10">
        <f t="shared" si="32"/>
        <v>0</v>
      </c>
      <c r="E410" s="7">
        <f t="shared" si="33"/>
        <v>0</v>
      </c>
      <c r="F410" s="10">
        <f t="shared" si="31"/>
        <v>0</v>
      </c>
      <c r="G410" s="5"/>
      <c r="H410" s="1"/>
    </row>
    <row r="411" spans="1:8" x14ac:dyDescent="0.25">
      <c r="A411" s="1" t="s">
        <v>147</v>
      </c>
      <c r="B411" s="8">
        <v>60</v>
      </c>
      <c r="C411" s="10">
        <f>B411*18.6/100</f>
        <v>11.16</v>
      </c>
      <c r="D411" s="10">
        <f>B411*16/100</f>
        <v>9.6</v>
      </c>
      <c r="E411" s="7">
        <f>B411*0/100</f>
        <v>0</v>
      </c>
      <c r="F411" s="10">
        <f>B411*218/100</f>
        <v>130.80000000000001</v>
      </c>
      <c r="G411" s="5"/>
      <c r="H411" s="1"/>
    </row>
    <row r="412" spans="1:8" x14ac:dyDescent="0.25">
      <c r="A412" s="1" t="s">
        <v>21</v>
      </c>
      <c r="B412" s="8">
        <v>6</v>
      </c>
      <c r="C412" s="10">
        <f>B412*12.7/100</f>
        <v>0.7619999999999999</v>
      </c>
      <c r="D412" s="10">
        <f>B412*11.5/100</f>
        <v>0.69</v>
      </c>
      <c r="E412" s="7">
        <f>B412*0.7/100</f>
        <v>4.1999999999999996E-2</v>
      </c>
      <c r="F412" s="10">
        <f>B412*157/100</f>
        <v>9.42</v>
      </c>
      <c r="G412" s="5"/>
      <c r="H412" s="1"/>
    </row>
    <row r="413" spans="1:8" x14ac:dyDescent="0.25">
      <c r="A413" s="1" t="s">
        <v>20</v>
      </c>
      <c r="B413" s="8">
        <v>18</v>
      </c>
      <c r="C413" s="10">
        <f>B413*1.4/100</f>
        <v>0.252</v>
      </c>
      <c r="D413" s="10">
        <f>B413*0/100</f>
        <v>0</v>
      </c>
      <c r="E413" s="7">
        <f>B413*9.1/100</f>
        <v>1.6379999999999999</v>
      </c>
      <c r="F413" s="10">
        <f>B413*41/100</f>
        <v>7.38</v>
      </c>
      <c r="G413" s="5"/>
      <c r="H413" s="1"/>
    </row>
    <row r="414" spans="1:8" x14ac:dyDescent="0.25">
      <c r="A414" s="1" t="s">
        <v>16</v>
      </c>
      <c r="B414" s="8">
        <v>18</v>
      </c>
      <c r="C414" s="10">
        <f>B414*1.3/100</f>
        <v>0.23400000000000001</v>
      </c>
      <c r="D414" s="10">
        <f>B414*0.1/100</f>
        <v>1.8000000000000002E-2</v>
      </c>
      <c r="E414" s="7">
        <f>B414*8.4/100</f>
        <v>1.5120000000000002</v>
      </c>
      <c r="F414" s="10">
        <f>B414*34/100</f>
        <v>6.12</v>
      </c>
      <c r="G414" s="5"/>
      <c r="H414" s="1"/>
    </row>
    <row r="415" spans="1:8" x14ac:dyDescent="0.25">
      <c r="A415" s="1" t="s">
        <v>28</v>
      </c>
      <c r="B415" s="8">
        <v>4</v>
      </c>
      <c r="C415" s="10">
        <f>B415*4.8/100</f>
        <v>0.192</v>
      </c>
      <c r="D415" s="10">
        <f>B415*0/100</f>
        <v>0</v>
      </c>
      <c r="E415" s="7">
        <f>B415*19/100</f>
        <v>0.76</v>
      </c>
      <c r="F415" s="10">
        <f>B415*99/100</f>
        <v>3.96</v>
      </c>
      <c r="G415" s="5"/>
      <c r="H415" s="1"/>
    </row>
    <row r="416" spans="1:8" x14ac:dyDescent="0.25">
      <c r="A416" s="1" t="s">
        <v>123</v>
      </c>
      <c r="B416" s="8">
        <v>3</v>
      </c>
      <c r="C416" s="10">
        <f>B416*10.3/100</f>
        <v>0.309</v>
      </c>
      <c r="D416" s="10">
        <f>B416*1.1/100</f>
        <v>3.3000000000000002E-2</v>
      </c>
      <c r="E416" s="7">
        <f>B416*69/100</f>
        <v>2.0699999999999998</v>
      </c>
      <c r="F416" s="10">
        <f>B416*334/100</f>
        <v>10.02</v>
      </c>
      <c r="G416" s="5"/>
      <c r="H416" s="1"/>
    </row>
    <row r="417" spans="1:8" x14ac:dyDescent="0.25">
      <c r="A417" s="1" t="s">
        <v>8</v>
      </c>
      <c r="B417" s="8">
        <v>2</v>
      </c>
      <c r="C417" s="10">
        <f>B417*0.7/100</f>
        <v>1.3999999999999999E-2</v>
      </c>
      <c r="D417" s="10">
        <f t="shared" si="32"/>
        <v>1.45</v>
      </c>
      <c r="E417" s="7">
        <f>B417*1/100</f>
        <v>0.02</v>
      </c>
      <c r="F417" s="10">
        <f>B417*709/100</f>
        <v>14.18</v>
      </c>
      <c r="G417" s="5"/>
      <c r="H417" s="1"/>
    </row>
    <row r="418" spans="1:8" x14ac:dyDescent="0.25">
      <c r="A418" s="1" t="s">
        <v>12</v>
      </c>
      <c r="B418" s="8">
        <v>8</v>
      </c>
      <c r="C418" s="10">
        <f>B418*7.7/100</f>
        <v>0.61599999999999999</v>
      </c>
      <c r="D418" s="10">
        <f>B418*3/100</f>
        <v>0.24</v>
      </c>
      <c r="E418" s="7">
        <f>B418*49.8/100</f>
        <v>3.984</v>
      </c>
      <c r="F418" s="10">
        <f>B418*262/100</f>
        <v>20.96</v>
      </c>
      <c r="G418" s="5"/>
      <c r="H418" s="1"/>
    </row>
    <row r="419" spans="1:8" x14ac:dyDescent="0.25">
      <c r="A419" s="2" t="s">
        <v>14</v>
      </c>
      <c r="B419" s="5"/>
      <c r="C419" s="5">
        <f>C411+C412+C413+C414+C415+C416+C417+C418</f>
        <v>13.539</v>
      </c>
      <c r="D419" s="5">
        <f>D411+D412+D413+D414+D415+D416+D417+D418</f>
        <v>12.030999999999999</v>
      </c>
      <c r="E419" s="5">
        <f>E411+E412+E413+E414+E415+E416+E417+E418</f>
        <v>10.026</v>
      </c>
      <c r="F419" s="5">
        <f>F411+F412+F413+F414+F415+F416+F417+F418</f>
        <v>202.84000000000003</v>
      </c>
      <c r="G419" s="5" t="s">
        <v>155</v>
      </c>
      <c r="H419" s="1"/>
    </row>
    <row r="420" spans="1:8" x14ac:dyDescent="0.25">
      <c r="A420" s="1" t="s">
        <v>150</v>
      </c>
      <c r="B420" s="8">
        <v>38</v>
      </c>
      <c r="C420" s="10">
        <f>B420*12.6/100</f>
        <v>4.7880000000000003</v>
      </c>
      <c r="D420" s="10">
        <f>B420*3.3/100</f>
        <v>1.254</v>
      </c>
      <c r="E420" s="7">
        <f>B420*62.1/100</f>
        <v>23.598000000000003</v>
      </c>
      <c r="F420" s="10">
        <f>B420*335/100</f>
        <v>127.3</v>
      </c>
      <c r="G420" s="5">
        <v>115</v>
      </c>
      <c r="H420" s="1"/>
    </row>
    <row r="421" spans="1:8" x14ac:dyDescent="0.25">
      <c r="A421" s="1" t="s">
        <v>151</v>
      </c>
      <c r="B421" s="7">
        <v>2</v>
      </c>
      <c r="C421" s="10">
        <f>B421*0.7/100</f>
        <v>1.3999999999999999E-2</v>
      </c>
      <c r="D421" s="10">
        <f t="shared" si="32"/>
        <v>1.45</v>
      </c>
      <c r="E421" s="7">
        <f>B421*1/100</f>
        <v>0.02</v>
      </c>
      <c r="F421" s="10">
        <f>B421*709/100</f>
        <v>14.18</v>
      </c>
      <c r="G421" s="5"/>
      <c r="H421" s="1"/>
    </row>
    <row r="422" spans="1:8" x14ac:dyDescent="0.25">
      <c r="A422" s="2" t="s">
        <v>14</v>
      </c>
      <c r="B422" s="5"/>
      <c r="C422" s="5">
        <f>C420+C421</f>
        <v>4.8020000000000005</v>
      </c>
      <c r="D422" s="5">
        <f>D420+D421</f>
        <v>2.7039999999999997</v>
      </c>
      <c r="E422" s="5">
        <f>E420+E421</f>
        <v>23.618000000000002</v>
      </c>
      <c r="F422" s="5">
        <f>F420+F421</f>
        <v>141.47999999999999</v>
      </c>
      <c r="G422" s="5"/>
      <c r="H422" s="1"/>
    </row>
    <row r="423" spans="1:8" x14ac:dyDescent="0.25">
      <c r="A423" s="1" t="s">
        <v>72</v>
      </c>
      <c r="B423" s="7"/>
      <c r="C423" s="10">
        <f t="shared" si="28"/>
        <v>0</v>
      </c>
      <c r="D423" s="10">
        <f t="shared" si="32"/>
        <v>0</v>
      </c>
      <c r="E423" s="7">
        <f t="shared" si="33"/>
        <v>0</v>
      </c>
      <c r="F423" s="10">
        <f t="shared" si="31"/>
        <v>0</v>
      </c>
      <c r="G423" s="5"/>
      <c r="H423" s="1"/>
    </row>
    <row r="424" spans="1:8" x14ac:dyDescent="0.25">
      <c r="A424" s="1" t="s">
        <v>125</v>
      </c>
      <c r="B424" s="8">
        <v>7</v>
      </c>
      <c r="C424" s="10">
        <f>B424*3.4/100</f>
        <v>0.23800000000000002</v>
      </c>
      <c r="D424" s="10">
        <f>B424*0/100</f>
        <v>0</v>
      </c>
      <c r="E424" s="7">
        <f>B424*21.5/100</f>
        <v>1.5049999999999999</v>
      </c>
      <c r="F424" s="10">
        <f>B424*110/100</f>
        <v>7.7</v>
      </c>
      <c r="G424" s="5"/>
      <c r="H424" s="1"/>
    </row>
    <row r="425" spans="1:8" x14ac:dyDescent="0.25">
      <c r="A425" s="1" t="s">
        <v>9</v>
      </c>
      <c r="B425" s="8">
        <v>8</v>
      </c>
      <c r="C425" s="10">
        <f>B425*0/100</f>
        <v>0</v>
      </c>
      <c r="D425" s="10">
        <f>B425*0/100</f>
        <v>0</v>
      </c>
      <c r="E425" s="7">
        <f>B425*99.8/100</f>
        <v>7.984</v>
      </c>
      <c r="F425" s="10">
        <f>B425*379/100</f>
        <v>30.32</v>
      </c>
      <c r="G425" s="5"/>
      <c r="H425" s="1"/>
    </row>
    <row r="426" spans="1:8" x14ac:dyDescent="0.25">
      <c r="A426" s="2" t="s">
        <v>14</v>
      </c>
      <c r="B426" s="5"/>
      <c r="C426" s="5">
        <f>C424+C425</f>
        <v>0.23800000000000002</v>
      </c>
      <c r="D426" s="5">
        <f t="shared" si="32"/>
        <v>0</v>
      </c>
      <c r="E426" s="5">
        <f>E424+E425</f>
        <v>9.4890000000000008</v>
      </c>
      <c r="F426" s="5">
        <f>F424+F425</f>
        <v>38.020000000000003</v>
      </c>
      <c r="G426" s="5">
        <v>180</v>
      </c>
      <c r="H426" s="1"/>
    </row>
    <row r="427" spans="1:8" x14ac:dyDescent="0.25">
      <c r="A427" s="1" t="s">
        <v>153</v>
      </c>
      <c r="B427" s="7">
        <v>40</v>
      </c>
      <c r="C427" s="10">
        <f>B427*0.8/100</f>
        <v>0.32</v>
      </c>
      <c r="D427" s="10">
        <f>B427*0/100</f>
        <v>0</v>
      </c>
      <c r="E427" s="7">
        <f>B427*1.8/100</f>
        <v>0.72</v>
      </c>
      <c r="F427" s="10">
        <f>B427*28/100</f>
        <v>11.2</v>
      </c>
      <c r="G427" s="5"/>
      <c r="H427" s="1"/>
    </row>
    <row r="428" spans="1:8" x14ac:dyDescent="0.25">
      <c r="A428" s="1" t="s">
        <v>152</v>
      </c>
      <c r="B428" s="7">
        <v>5</v>
      </c>
      <c r="C428" s="10">
        <f>B428*0/100</f>
        <v>0</v>
      </c>
      <c r="D428" s="10">
        <f>B428*99.9/100</f>
        <v>4.9950000000000001</v>
      </c>
      <c r="E428" s="7">
        <f>B428*0/100</f>
        <v>0</v>
      </c>
      <c r="F428" s="10">
        <f>B428*899/100</f>
        <v>44.95</v>
      </c>
      <c r="G428" s="5"/>
      <c r="H428" s="1"/>
    </row>
    <row r="429" spans="1:8" x14ac:dyDescent="0.25">
      <c r="A429" s="2" t="s">
        <v>14</v>
      </c>
      <c r="B429" s="5"/>
      <c r="C429" s="5">
        <f t="shared" si="28"/>
        <v>0</v>
      </c>
      <c r="D429" s="5">
        <f>D427+D428</f>
        <v>4.9950000000000001</v>
      </c>
      <c r="E429" s="5">
        <f t="shared" si="33"/>
        <v>0</v>
      </c>
      <c r="F429" s="5">
        <f>F427+F428</f>
        <v>56.150000000000006</v>
      </c>
      <c r="G429" s="5">
        <v>45</v>
      </c>
      <c r="H429" s="1"/>
    </row>
    <row r="430" spans="1:8" x14ac:dyDescent="0.25">
      <c r="A430" s="1" t="s">
        <v>32</v>
      </c>
      <c r="B430" s="7">
        <v>40</v>
      </c>
      <c r="C430" s="10">
        <f>B430*7.7/100</f>
        <v>3.08</v>
      </c>
      <c r="D430" s="10">
        <f>B430*3/100</f>
        <v>1.2</v>
      </c>
      <c r="E430" s="7">
        <f>B430*49.8/100</f>
        <v>19.920000000000002</v>
      </c>
      <c r="F430" s="10">
        <f>B430*262/100</f>
        <v>104.8</v>
      </c>
      <c r="G430" s="5">
        <v>40</v>
      </c>
      <c r="H430" s="1"/>
    </row>
    <row r="431" spans="1:8" x14ac:dyDescent="0.25">
      <c r="A431" s="1" t="s">
        <v>12</v>
      </c>
      <c r="B431" s="7">
        <v>35</v>
      </c>
      <c r="C431" s="10">
        <f>B431*6.6/100</f>
        <v>2.31</v>
      </c>
      <c r="D431" s="10">
        <f>B431*1.2/100</f>
        <v>0.42</v>
      </c>
      <c r="E431" s="7">
        <f>B431*34.2/100</f>
        <v>11.97</v>
      </c>
      <c r="F431" s="10">
        <f>B431*181/100</f>
        <v>63.35</v>
      </c>
      <c r="G431" s="5">
        <v>35</v>
      </c>
      <c r="H431" s="1"/>
    </row>
    <row r="432" spans="1:8" x14ac:dyDescent="0.25">
      <c r="A432" s="2" t="s">
        <v>76</v>
      </c>
      <c r="B432" s="5"/>
      <c r="C432" s="5">
        <f>C409+C419+C422+C426+C430+C431</f>
        <v>32.25</v>
      </c>
      <c r="D432" s="5">
        <f>D409+D419+D422+D429+D430+D431</f>
        <v>26.411000000000001</v>
      </c>
      <c r="E432" s="5">
        <f>E409+E419+E422+E426+E430+E431</f>
        <v>91.88300000000001</v>
      </c>
      <c r="F432" s="5">
        <f>F409+F419+F422+F426+F429+F430+F431</f>
        <v>753.12</v>
      </c>
      <c r="G432" s="5"/>
      <c r="H432" s="1"/>
    </row>
    <row r="433" spans="1:8" x14ac:dyDescent="0.25">
      <c r="A433" s="1"/>
      <c r="B433" s="7"/>
      <c r="C433" s="10">
        <f t="shared" ref="C433:C492" si="34">B433*1.5/100</f>
        <v>0</v>
      </c>
      <c r="D433" s="10">
        <f t="shared" si="32"/>
        <v>0</v>
      </c>
      <c r="E433" s="7">
        <f t="shared" si="33"/>
        <v>0</v>
      </c>
      <c r="F433" s="10">
        <f t="shared" ref="F433:F492" si="35">B433*89/100</f>
        <v>0</v>
      </c>
      <c r="G433" s="5"/>
      <c r="H433" s="1"/>
    </row>
    <row r="434" spans="1:8" ht="15.75" x14ac:dyDescent="0.25">
      <c r="A434" s="14" t="s">
        <v>154</v>
      </c>
      <c r="B434" s="16"/>
      <c r="C434" s="16">
        <f>C397+C399+C432</f>
        <v>49.401000000000003</v>
      </c>
      <c r="D434" s="16">
        <f>D397+D399+D432</f>
        <v>48.025999999999996</v>
      </c>
      <c r="E434" s="16">
        <f>E397+E399+E432</f>
        <v>170.09500000000003</v>
      </c>
      <c r="F434" s="16">
        <f>F397+F399+F432</f>
        <v>1307.94</v>
      </c>
      <c r="G434" s="5">
        <v>700</v>
      </c>
      <c r="H434" s="1"/>
    </row>
    <row r="435" spans="1:8" x14ac:dyDescent="0.25">
      <c r="A435" s="1"/>
      <c r="B435" s="7"/>
      <c r="C435" s="10"/>
      <c r="D435" s="10"/>
      <c r="E435" s="7"/>
      <c r="F435" s="10"/>
      <c r="G435" s="5"/>
      <c r="H435" s="1"/>
    </row>
    <row r="436" spans="1:8" x14ac:dyDescent="0.25">
      <c r="A436" s="1"/>
      <c r="B436" s="7"/>
      <c r="C436" s="10"/>
      <c r="D436" s="10"/>
      <c r="E436" s="7"/>
      <c r="F436" s="10"/>
      <c r="G436" s="5"/>
      <c r="H436" s="2" t="s">
        <v>156</v>
      </c>
    </row>
    <row r="437" spans="1:8" x14ac:dyDescent="0.25">
      <c r="A437" s="1" t="s">
        <v>36</v>
      </c>
      <c r="B437" s="7"/>
      <c r="C437" s="10"/>
      <c r="D437" s="10"/>
      <c r="E437" s="7"/>
      <c r="F437" s="10"/>
      <c r="G437" s="5"/>
      <c r="H437" s="1"/>
    </row>
    <row r="438" spans="1:8" x14ac:dyDescent="0.25">
      <c r="A438" s="1" t="s">
        <v>157</v>
      </c>
      <c r="B438" s="7"/>
      <c r="C438" s="10"/>
      <c r="D438" s="10"/>
      <c r="E438" s="7"/>
      <c r="F438" s="10"/>
      <c r="G438" s="7"/>
      <c r="H438" s="1"/>
    </row>
    <row r="439" spans="1:8" x14ac:dyDescent="0.25">
      <c r="A439" s="1" t="s">
        <v>17</v>
      </c>
      <c r="B439" s="8">
        <v>20</v>
      </c>
      <c r="C439" s="10">
        <f>B439*10.7/100</f>
        <v>2.14</v>
      </c>
      <c r="D439" s="10">
        <f>B439*1.3/100</f>
        <v>0.26</v>
      </c>
      <c r="E439" s="7">
        <f>B439*68.4/100</f>
        <v>13.68</v>
      </c>
      <c r="F439" s="10">
        <f>B439*335/100</f>
        <v>67</v>
      </c>
      <c r="G439" s="7"/>
      <c r="H439" s="1"/>
    </row>
    <row r="440" spans="1:8" x14ac:dyDescent="0.25">
      <c r="A440" s="1" t="s">
        <v>7</v>
      </c>
      <c r="B440" s="8">
        <v>100</v>
      </c>
      <c r="C440" s="10">
        <f>B440*2.8/100</f>
        <v>2.8</v>
      </c>
      <c r="D440" s="10">
        <f>B440*3.5/100</f>
        <v>3.5</v>
      </c>
      <c r="E440" s="7">
        <f>B440*4.7/100</f>
        <v>4.7</v>
      </c>
      <c r="F440" s="10">
        <f t="shared" si="35"/>
        <v>89</v>
      </c>
      <c r="G440" s="5"/>
      <c r="H440" s="1"/>
    </row>
    <row r="441" spans="1:8" x14ac:dyDescent="0.25">
      <c r="A441" s="1" t="s">
        <v>8</v>
      </c>
      <c r="B441" s="8">
        <v>3</v>
      </c>
      <c r="C441" s="10">
        <f>B441*0.7/100</f>
        <v>2.0999999999999998E-2</v>
      </c>
      <c r="D441" s="10">
        <f t="shared" si="32"/>
        <v>2.1749999999999998</v>
      </c>
      <c r="E441" s="7">
        <f>B441*1/100</f>
        <v>0.03</v>
      </c>
      <c r="F441" s="10">
        <f>B441*709/100</f>
        <v>21.27</v>
      </c>
      <c r="G441" s="5"/>
      <c r="H441" s="1"/>
    </row>
    <row r="442" spans="1:8" x14ac:dyDescent="0.25">
      <c r="A442" s="1" t="s">
        <v>9</v>
      </c>
      <c r="B442" s="8">
        <v>5</v>
      </c>
      <c r="C442" s="10">
        <f>B442*0/100</f>
        <v>0</v>
      </c>
      <c r="D442" s="10">
        <f>B442*0/100</f>
        <v>0</v>
      </c>
      <c r="E442" s="7">
        <f>B442*99.8/100</f>
        <v>4.99</v>
      </c>
      <c r="F442" s="10">
        <f>B442*379/10</f>
        <v>189.5</v>
      </c>
      <c r="G442" s="5"/>
      <c r="H442" s="1"/>
    </row>
    <row r="443" spans="1:8" x14ac:dyDescent="0.25">
      <c r="A443" s="2" t="s">
        <v>74</v>
      </c>
      <c r="B443" s="5"/>
      <c r="C443" s="5">
        <f>C439+C440+C441</f>
        <v>4.9609999999999994</v>
      </c>
      <c r="D443" s="5">
        <f>D439+D440+D441</f>
        <v>5.9349999999999996</v>
      </c>
      <c r="E443" s="5">
        <f>E439+E440+E441+E442</f>
        <v>23.4</v>
      </c>
      <c r="F443" s="5">
        <f>F439+F440+F441+F442</f>
        <v>366.77</v>
      </c>
      <c r="G443" s="5">
        <v>200</v>
      </c>
      <c r="H443" s="1"/>
    </row>
    <row r="444" spans="1:8" x14ac:dyDescent="0.25">
      <c r="A444" s="1" t="s">
        <v>158</v>
      </c>
      <c r="B444" s="7"/>
      <c r="C444" s="10">
        <f t="shared" si="34"/>
        <v>0</v>
      </c>
      <c r="D444" s="10">
        <f t="shared" si="32"/>
        <v>0</v>
      </c>
      <c r="E444" s="7">
        <f t="shared" si="33"/>
        <v>0</v>
      </c>
      <c r="F444" s="10">
        <f t="shared" si="35"/>
        <v>0</v>
      </c>
      <c r="G444" s="5"/>
      <c r="H444" s="1"/>
    </row>
    <row r="445" spans="1:8" x14ac:dyDescent="0.25">
      <c r="A445" s="1" t="s">
        <v>11</v>
      </c>
      <c r="B445" s="7">
        <v>0.3</v>
      </c>
      <c r="C445" s="10">
        <f>B445*0/100</f>
        <v>0</v>
      </c>
      <c r="D445" s="10">
        <f>B445*0/100</f>
        <v>0</v>
      </c>
      <c r="E445" s="7">
        <f>B445*0/100</f>
        <v>0</v>
      </c>
      <c r="F445" s="10">
        <f>B445*0/100</f>
        <v>0</v>
      </c>
      <c r="G445" s="5"/>
      <c r="H445" s="1"/>
    </row>
    <row r="446" spans="1:8" x14ac:dyDescent="0.25">
      <c r="A446" s="1" t="s">
        <v>7</v>
      </c>
      <c r="B446" s="8">
        <v>100</v>
      </c>
      <c r="C446" s="10">
        <f>B446*2.8/100</f>
        <v>2.8</v>
      </c>
      <c r="D446" s="10">
        <f>B446*3.5/100</f>
        <v>3.5</v>
      </c>
      <c r="E446" s="7">
        <f>B446*4.7/100</f>
        <v>4.7</v>
      </c>
      <c r="F446" s="10">
        <f>B446*61/100</f>
        <v>61</v>
      </c>
      <c r="G446" s="5"/>
      <c r="H446" s="1"/>
    </row>
    <row r="447" spans="1:8" x14ac:dyDescent="0.25">
      <c r="A447" s="1" t="s">
        <v>9</v>
      </c>
      <c r="B447" s="8">
        <v>8</v>
      </c>
      <c r="C447" s="10">
        <f>B447*0/100</f>
        <v>0</v>
      </c>
      <c r="D447" s="10">
        <f>B447*0/100</f>
        <v>0</v>
      </c>
      <c r="E447" s="7">
        <f>B447*99.8/100</f>
        <v>7.984</v>
      </c>
      <c r="F447" s="10">
        <f>B447*379/100</f>
        <v>30.32</v>
      </c>
      <c r="G447" s="5"/>
      <c r="H447" s="1"/>
    </row>
    <row r="448" spans="1:8" x14ac:dyDescent="0.25">
      <c r="A448" s="2" t="s">
        <v>14</v>
      </c>
      <c r="B448" s="5"/>
      <c r="C448" s="5">
        <f>C446+C447</f>
        <v>2.8</v>
      </c>
      <c r="D448" s="5">
        <f>D446+D447</f>
        <v>3.5</v>
      </c>
      <c r="E448" s="5">
        <f>E446+E447</f>
        <v>12.684000000000001</v>
      </c>
      <c r="F448" s="5">
        <f>F446+F447</f>
        <v>91.32</v>
      </c>
      <c r="G448" s="5">
        <v>200</v>
      </c>
      <c r="H448" s="1"/>
    </row>
    <row r="449" spans="1:8" x14ac:dyDescent="0.25">
      <c r="A449" s="1" t="s">
        <v>13</v>
      </c>
      <c r="B449" s="7">
        <v>11</v>
      </c>
      <c r="C449" s="10">
        <f>B449*23/100</f>
        <v>2.5299999999999998</v>
      </c>
      <c r="D449" s="10">
        <f>B449*29/100</f>
        <v>3.19</v>
      </c>
      <c r="E449" s="7">
        <f>B449*0/100</f>
        <v>0</v>
      </c>
      <c r="F449" s="10">
        <f>B449*360/100</f>
        <v>39.6</v>
      </c>
      <c r="G449" s="5">
        <v>10</v>
      </c>
      <c r="H449" s="1"/>
    </row>
    <row r="450" spans="1:8" x14ac:dyDescent="0.25">
      <c r="A450" s="1" t="s">
        <v>12</v>
      </c>
      <c r="B450" s="8">
        <v>40</v>
      </c>
      <c r="C450" s="10">
        <f>B450*7.7/100</f>
        <v>3.08</v>
      </c>
      <c r="D450" s="10">
        <f>B450*3/100</f>
        <v>1.2</v>
      </c>
      <c r="E450" s="7">
        <f>B450*49.8/100</f>
        <v>19.920000000000002</v>
      </c>
      <c r="F450" s="10">
        <f>B450*262/100</f>
        <v>104.8</v>
      </c>
      <c r="G450" s="5">
        <v>40</v>
      </c>
      <c r="H450" s="1"/>
    </row>
    <row r="451" spans="1:8" x14ac:dyDescent="0.25">
      <c r="A451" s="1" t="s">
        <v>8</v>
      </c>
      <c r="B451" s="8">
        <v>8</v>
      </c>
      <c r="C451" s="10">
        <f>B451*0.7/100</f>
        <v>5.5999999999999994E-2</v>
      </c>
      <c r="D451" s="10">
        <f t="shared" si="32"/>
        <v>5.8</v>
      </c>
      <c r="E451" s="7">
        <f>B451*1/100</f>
        <v>0.08</v>
      </c>
      <c r="F451" s="10">
        <f>B451*709/100</f>
        <v>56.72</v>
      </c>
      <c r="G451" s="5">
        <v>10</v>
      </c>
      <c r="H451" s="1"/>
    </row>
    <row r="452" spans="1:8" x14ac:dyDescent="0.25">
      <c r="A452" s="2" t="s">
        <v>118</v>
      </c>
      <c r="B452" s="5"/>
      <c r="C452" s="5">
        <f>C443+C448+C449+C450+C451</f>
        <v>13.426999999999998</v>
      </c>
      <c r="D452" s="5">
        <f>D443+D448+D449+D450+D451</f>
        <v>19.624999999999996</v>
      </c>
      <c r="E452" s="5">
        <f>E443+E448+E450+E451</f>
        <v>56.084000000000003</v>
      </c>
      <c r="F452" s="5">
        <f>F443+F448+F449+F450+F451</f>
        <v>659.21</v>
      </c>
      <c r="G452" s="5">
        <v>460</v>
      </c>
      <c r="H452" s="1"/>
    </row>
    <row r="453" spans="1:8" x14ac:dyDescent="0.25">
      <c r="A453" s="2"/>
      <c r="B453" s="5"/>
      <c r="C453" s="5"/>
      <c r="D453" s="5"/>
      <c r="E453" s="5"/>
      <c r="F453" s="5"/>
      <c r="G453" s="7"/>
      <c r="H453" s="1"/>
    </row>
    <row r="454" spans="1:8" x14ac:dyDescent="0.25">
      <c r="A454" s="1" t="s">
        <v>159</v>
      </c>
      <c r="B454" s="5">
        <v>120</v>
      </c>
      <c r="C454" s="5">
        <f>B454*0.8/100</f>
        <v>0.96</v>
      </c>
      <c r="D454" s="5">
        <f>B454*0.3/100</f>
        <v>0.36</v>
      </c>
      <c r="E454" s="5">
        <f>B454*8.1/100</f>
        <v>9.7200000000000006</v>
      </c>
      <c r="F454" s="5">
        <f>B454*40/100</f>
        <v>48</v>
      </c>
      <c r="G454" s="5">
        <v>120</v>
      </c>
      <c r="H454" s="1"/>
    </row>
    <row r="455" spans="1:8" x14ac:dyDescent="0.25">
      <c r="A455" s="1"/>
      <c r="B455" s="7"/>
      <c r="C455" s="10">
        <f t="shared" si="34"/>
        <v>0</v>
      </c>
      <c r="D455" s="10">
        <f t="shared" si="32"/>
        <v>0</v>
      </c>
      <c r="E455" s="7">
        <f t="shared" si="33"/>
        <v>0</v>
      </c>
      <c r="F455" s="10">
        <f t="shared" si="35"/>
        <v>0</v>
      </c>
      <c r="G455" s="7"/>
      <c r="H455" s="1"/>
    </row>
    <row r="456" spans="1:8" x14ac:dyDescent="0.25">
      <c r="A456" s="1" t="s">
        <v>102</v>
      </c>
      <c r="B456" s="7"/>
      <c r="C456" s="10">
        <f t="shared" si="34"/>
        <v>0</v>
      </c>
      <c r="D456" s="10">
        <f t="shared" si="32"/>
        <v>0</v>
      </c>
      <c r="E456" s="7">
        <f t="shared" si="33"/>
        <v>0</v>
      </c>
      <c r="F456" s="10">
        <f t="shared" si="35"/>
        <v>0</v>
      </c>
      <c r="G456" s="7"/>
      <c r="H456" s="1"/>
    </row>
    <row r="457" spans="1:8" x14ac:dyDescent="0.25">
      <c r="A457" s="1" t="s">
        <v>160</v>
      </c>
      <c r="B457" s="7"/>
      <c r="C457" s="10">
        <f t="shared" si="34"/>
        <v>0</v>
      </c>
      <c r="D457" s="10">
        <f t="shared" si="32"/>
        <v>0</v>
      </c>
      <c r="E457" s="7">
        <f t="shared" si="33"/>
        <v>0</v>
      </c>
      <c r="F457" s="10">
        <f t="shared" si="35"/>
        <v>0</v>
      </c>
      <c r="G457" s="7"/>
      <c r="H457" s="1"/>
    </row>
    <row r="458" spans="1:8" x14ac:dyDescent="0.25">
      <c r="A458" s="1" t="s">
        <v>41</v>
      </c>
      <c r="B458" s="8">
        <v>20</v>
      </c>
      <c r="C458" s="10">
        <f>B458*18.6/100</f>
        <v>3.72</v>
      </c>
      <c r="D458" s="10">
        <f>B458*16/100</f>
        <v>3.2</v>
      </c>
      <c r="E458" s="7">
        <f>B458*0/100</f>
        <v>0</v>
      </c>
      <c r="F458" s="10">
        <f>B458*218/100</f>
        <v>43.6</v>
      </c>
      <c r="G458" s="7"/>
      <c r="H458" s="1"/>
    </row>
    <row r="459" spans="1:8" x14ac:dyDescent="0.25">
      <c r="A459" s="1" t="s">
        <v>15</v>
      </c>
      <c r="B459" s="8">
        <v>40</v>
      </c>
      <c r="C459" s="10">
        <f>B459*2/100</f>
        <v>0.8</v>
      </c>
      <c r="D459" s="10">
        <f>B459*0.4/100</f>
        <v>0.16</v>
      </c>
      <c r="E459" s="7">
        <f>B459*17.3/100</f>
        <v>6.92</v>
      </c>
      <c r="F459" s="10">
        <f>B459*80/100</f>
        <v>32</v>
      </c>
      <c r="G459" s="7"/>
      <c r="H459" s="1"/>
    </row>
    <row r="460" spans="1:8" x14ac:dyDescent="0.25">
      <c r="A460" s="1" t="s">
        <v>161</v>
      </c>
      <c r="B460" s="8">
        <v>15</v>
      </c>
      <c r="C460" s="10">
        <f>B460*5/100</f>
        <v>0.75</v>
      </c>
      <c r="D460" s="10">
        <f>B460*0.2/100</f>
        <v>0.03</v>
      </c>
      <c r="E460" s="7">
        <f>B460*12.8/100</f>
        <v>1.92</v>
      </c>
      <c r="F460" s="10">
        <f>B460*73/100</f>
        <v>10.95</v>
      </c>
      <c r="G460" s="7"/>
      <c r="H460" s="1"/>
    </row>
    <row r="461" spans="1:8" x14ac:dyDescent="0.25">
      <c r="A461" s="1" t="s">
        <v>20</v>
      </c>
      <c r="B461" s="8">
        <v>11</v>
      </c>
      <c r="C461" s="10">
        <f>B461*1.4/100</f>
        <v>0.154</v>
      </c>
      <c r="D461" s="10">
        <f>B461*0/100</f>
        <v>0</v>
      </c>
      <c r="E461" s="7">
        <f>B461*9.1/100</f>
        <v>1.0009999999999999</v>
      </c>
      <c r="F461" s="10">
        <f>B461*41/100</f>
        <v>4.51</v>
      </c>
      <c r="G461" s="7"/>
      <c r="H461" s="1"/>
    </row>
    <row r="462" spans="1:8" x14ac:dyDescent="0.25">
      <c r="A462" s="1" t="s">
        <v>16</v>
      </c>
      <c r="B462" s="8">
        <v>11</v>
      </c>
      <c r="C462" s="10">
        <f>B462*1.3/100</f>
        <v>0.14300000000000002</v>
      </c>
      <c r="D462" s="10">
        <f>B462*0.1/100</f>
        <v>1.1000000000000001E-2</v>
      </c>
      <c r="E462" s="7">
        <f>B462*9.1/100</f>
        <v>1.0009999999999999</v>
      </c>
      <c r="F462" s="10">
        <f>B462*41/100</f>
        <v>4.51</v>
      </c>
      <c r="G462" s="7"/>
      <c r="H462" s="1"/>
    </row>
    <row r="463" spans="1:8" x14ac:dyDescent="0.25">
      <c r="A463" s="1" t="s">
        <v>28</v>
      </c>
      <c r="B463" s="8">
        <v>3</v>
      </c>
      <c r="C463" s="10">
        <f>B463*4.8/100</f>
        <v>0.14399999999999999</v>
      </c>
      <c r="D463" s="10">
        <f>B463*0/100</f>
        <v>0</v>
      </c>
      <c r="E463" s="7">
        <f>B463*19/100</f>
        <v>0.56999999999999995</v>
      </c>
      <c r="F463" s="10">
        <f>B463*99/100</f>
        <v>2.97</v>
      </c>
      <c r="G463" s="7"/>
      <c r="H463" s="1"/>
    </row>
    <row r="464" spans="1:8" x14ac:dyDescent="0.25">
      <c r="A464" s="1" t="s">
        <v>8</v>
      </c>
      <c r="B464" s="7">
        <v>2</v>
      </c>
      <c r="C464" s="10">
        <f>B464*0.7/100</f>
        <v>1.3999999999999999E-2</v>
      </c>
      <c r="D464" s="10">
        <f t="shared" ref="D464:D522" si="36">B464*72.5/100</f>
        <v>1.45</v>
      </c>
      <c r="E464" s="7">
        <f>B464*1/100</f>
        <v>0.02</v>
      </c>
      <c r="F464" s="10">
        <f>B464*709/100</f>
        <v>14.18</v>
      </c>
      <c r="G464" s="7"/>
      <c r="H464" s="1"/>
    </row>
    <row r="465" spans="1:8" x14ac:dyDescent="0.25">
      <c r="A465" s="2" t="s">
        <v>14</v>
      </c>
      <c r="B465" s="5"/>
      <c r="C465" s="5">
        <f>C458+C459+C460+C461+C462+C463+C464</f>
        <v>5.7250000000000005</v>
      </c>
      <c r="D465" s="5">
        <f>D458+D459+D460+D461+D462+D463+D464</f>
        <v>4.851</v>
      </c>
      <c r="E465" s="5">
        <f>E458+E459+E460+E461+E462+E463+E464</f>
        <v>11.431999999999999</v>
      </c>
      <c r="F465" s="5">
        <f>F458+F459+F460+F461+F462+F463+F464</f>
        <v>112.72</v>
      </c>
      <c r="G465" s="5">
        <v>200</v>
      </c>
      <c r="H465" s="1"/>
    </row>
    <row r="466" spans="1:8" x14ac:dyDescent="0.25">
      <c r="A466" s="1" t="s">
        <v>162</v>
      </c>
      <c r="B466" s="7"/>
      <c r="C466" s="10">
        <f t="shared" si="34"/>
        <v>0</v>
      </c>
      <c r="D466" s="10">
        <f t="shared" si="36"/>
        <v>0</v>
      </c>
      <c r="E466" s="7">
        <f t="shared" ref="E466:E522" si="37">B466*49.8/100</f>
        <v>0</v>
      </c>
      <c r="F466" s="10">
        <f t="shared" si="35"/>
        <v>0</v>
      </c>
      <c r="G466" s="7"/>
      <c r="H466" s="1"/>
    </row>
    <row r="467" spans="1:8" x14ac:dyDescent="0.25">
      <c r="A467" s="1" t="s">
        <v>41</v>
      </c>
      <c r="B467" s="8">
        <v>60</v>
      </c>
      <c r="C467" s="10">
        <f>B467*18.6/100</f>
        <v>11.16</v>
      </c>
      <c r="D467" s="10">
        <f>B467*16/100</f>
        <v>9.6</v>
      </c>
      <c r="E467" s="7">
        <f>B467*0/100</f>
        <v>0</v>
      </c>
      <c r="F467" s="10">
        <f>B468*41/100</f>
        <v>4.51</v>
      </c>
      <c r="G467" s="7"/>
      <c r="H467" s="1"/>
    </row>
    <row r="468" spans="1:8" x14ac:dyDescent="0.25">
      <c r="A468" s="1" t="s">
        <v>20</v>
      </c>
      <c r="B468" s="8">
        <v>11</v>
      </c>
      <c r="C468" s="10">
        <f>B468*1.4/100</f>
        <v>0.154</v>
      </c>
      <c r="D468" s="10">
        <f>B468*0/100</f>
        <v>0</v>
      </c>
      <c r="E468" s="7">
        <f>B468*9.1/100</f>
        <v>1.0009999999999999</v>
      </c>
      <c r="F468" s="12">
        <f>B468/41</f>
        <v>0.26829268292682928</v>
      </c>
      <c r="G468" s="7"/>
      <c r="H468" s="1"/>
    </row>
    <row r="469" spans="1:8" x14ac:dyDescent="0.25">
      <c r="A469" s="1" t="s">
        <v>16</v>
      </c>
      <c r="B469" s="11">
        <v>11</v>
      </c>
      <c r="C469" s="10">
        <f>B469*1.3/100</f>
        <v>0.14300000000000002</v>
      </c>
      <c r="D469" s="10">
        <f>B469*0.1/100</f>
        <v>1.1000000000000001E-2</v>
      </c>
      <c r="E469" s="7">
        <f>B469*8.4/100</f>
        <v>0.92400000000000004</v>
      </c>
      <c r="F469" s="10">
        <f>B469*34/100</f>
        <v>3.74</v>
      </c>
      <c r="G469" s="7"/>
      <c r="H469" s="1"/>
    </row>
    <row r="470" spans="1:8" x14ac:dyDescent="0.25">
      <c r="A470" s="1" t="s">
        <v>28</v>
      </c>
      <c r="B470" s="8">
        <v>5</v>
      </c>
      <c r="C470" s="10">
        <f>B470*4.8/100</f>
        <v>0.24</v>
      </c>
      <c r="D470" s="10">
        <f>B470*0/100</f>
        <v>0</v>
      </c>
      <c r="E470" s="7">
        <f>B470*19/100</f>
        <v>0.95</v>
      </c>
      <c r="F470" s="10">
        <f>B470*99/100</f>
        <v>4.95</v>
      </c>
      <c r="G470" s="7"/>
      <c r="H470" s="1"/>
    </row>
    <row r="471" spans="1:8" x14ac:dyDescent="0.25">
      <c r="A471" s="1" t="s">
        <v>123</v>
      </c>
      <c r="B471" s="8">
        <v>3</v>
      </c>
      <c r="C471" s="10">
        <f>B471*10.3/100</f>
        <v>0.309</v>
      </c>
      <c r="D471" s="10">
        <f>B471*1.3/100</f>
        <v>3.9000000000000007E-2</v>
      </c>
      <c r="E471" s="7">
        <f>B471*67.7/100</f>
        <v>2.0310000000000001</v>
      </c>
      <c r="F471" s="10">
        <f>B471*331/100</f>
        <v>9.93</v>
      </c>
      <c r="G471" s="7"/>
      <c r="H471" s="1"/>
    </row>
    <row r="472" spans="1:8" x14ac:dyDescent="0.25">
      <c r="A472" s="1" t="s">
        <v>8</v>
      </c>
      <c r="B472" s="8">
        <v>2</v>
      </c>
      <c r="C472" s="10">
        <f>B472*0.7/100</f>
        <v>1.3999999999999999E-2</v>
      </c>
      <c r="D472" s="10">
        <f t="shared" si="36"/>
        <v>1.45</v>
      </c>
      <c r="E472" s="7">
        <f>B472*1/100</f>
        <v>0.02</v>
      </c>
      <c r="F472" s="10">
        <f>B472*709/100</f>
        <v>14.18</v>
      </c>
      <c r="G472" s="7"/>
      <c r="H472" s="1"/>
    </row>
    <row r="473" spans="1:8" x14ac:dyDescent="0.25">
      <c r="A473" s="2" t="s">
        <v>14</v>
      </c>
      <c r="B473" s="5"/>
      <c r="C473" s="5">
        <f>C467+C468+C469+C470+C471+C472</f>
        <v>12.02</v>
      </c>
      <c r="D473" s="5">
        <f>D467+D468+D469+D470+D471+D472</f>
        <v>11.099999999999998</v>
      </c>
      <c r="E473" s="5">
        <f>E467+E468+E469+E470+E471+E472</f>
        <v>4.9260000000000002</v>
      </c>
      <c r="F473" s="13">
        <f>F467+F468+F469+F470+F471+F472</f>
        <v>37.578292682926829</v>
      </c>
      <c r="G473" s="5" t="s">
        <v>165</v>
      </c>
      <c r="H473" s="1"/>
    </row>
    <row r="474" spans="1:8" x14ac:dyDescent="0.25">
      <c r="A474" s="1" t="s">
        <v>71</v>
      </c>
      <c r="B474" s="7"/>
      <c r="C474" s="10">
        <f t="shared" si="34"/>
        <v>0</v>
      </c>
      <c r="D474" s="10">
        <f t="shared" si="36"/>
        <v>0</v>
      </c>
      <c r="E474" s="7">
        <f t="shared" si="37"/>
        <v>0</v>
      </c>
      <c r="F474" s="10">
        <f t="shared" si="35"/>
        <v>0</v>
      </c>
      <c r="G474" s="5"/>
      <c r="H474" s="1"/>
    </row>
    <row r="475" spans="1:8" x14ac:dyDescent="0.25">
      <c r="A475" s="1" t="s">
        <v>15</v>
      </c>
      <c r="B475" s="7">
        <v>140</v>
      </c>
      <c r="C475" s="10">
        <f>B475*2/100</f>
        <v>2.8</v>
      </c>
      <c r="D475" s="10">
        <f>B475*0.4/100</f>
        <v>0.56000000000000005</v>
      </c>
      <c r="E475" s="7">
        <f>B475*17.3/100</f>
        <v>24.22</v>
      </c>
      <c r="F475" s="10">
        <f>B475*80/100</f>
        <v>112</v>
      </c>
      <c r="G475" s="5"/>
      <c r="H475" s="1"/>
    </row>
    <row r="476" spans="1:8" x14ac:dyDescent="0.25">
      <c r="A476" s="1" t="s">
        <v>7</v>
      </c>
      <c r="B476" s="8">
        <v>40</v>
      </c>
      <c r="C476" s="10">
        <f>B476*2.8/100</f>
        <v>1.1200000000000001</v>
      </c>
      <c r="D476" s="10">
        <f>B476*3.5/100</f>
        <v>1.4</v>
      </c>
      <c r="E476" s="7">
        <f>B476*4.7/100</f>
        <v>1.88</v>
      </c>
      <c r="F476" s="10">
        <f>B476*61/100</f>
        <v>24.4</v>
      </c>
      <c r="G476" s="5"/>
      <c r="H476" s="1"/>
    </row>
    <row r="477" spans="1:8" x14ac:dyDescent="0.25">
      <c r="A477" s="1" t="s">
        <v>8</v>
      </c>
      <c r="B477" s="8">
        <v>2</v>
      </c>
      <c r="C477" s="10">
        <f>B477*0.7/100</f>
        <v>1.3999999999999999E-2</v>
      </c>
      <c r="D477" s="10">
        <f t="shared" si="36"/>
        <v>1.45</v>
      </c>
      <c r="E477" s="7">
        <f>B477*1/100</f>
        <v>0.02</v>
      </c>
      <c r="F477" s="10">
        <f>B477*709/100</f>
        <v>14.18</v>
      </c>
      <c r="G477" s="5"/>
      <c r="H477" s="1"/>
    </row>
    <row r="478" spans="1:8" x14ac:dyDescent="0.25">
      <c r="A478" s="2" t="s">
        <v>74</v>
      </c>
      <c r="B478" s="5"/>
      <c r="C478" s="5">
        <f>C475+C476+C477</f>
        <v>3.9339999999999997</v>
      </c>
      <c r="D478" s="5">
        <f>D475+D476+D477</f>
        <v>3.41</v>
      </c>
      <c r="E478" s="5">
        <f>E475+E476+E477</f>
        <v>26.119999999999997</v>
      </c>
      <c r="F478" s="5">
        <f>F475+F476+F477</f>
        <v>150.58000000000001</v>
      </c>
      <c r="G478" s="5">
        <v>140</v>
      </c>
      <c r="H478" s="1"/>
    </row>
    <row r="479" spans="1:8" x14ac:dyDescent="0.25">
      <c r="A479" s="1" t="s">
        <v>72</v>
      </c>
      <c r="B479" s="7"/>
      <c r="C479" s="10">
        <f t="shared" si="34"/>
        <v>0</v>
      </c>
      <c r="D479" s="10">
        <f t="shared" si="36"/>
        <v>0</v>
      </c>
      <c r="E479" s="7">
        <f t="shared" si="37"/>
        <v>0</v>
      </c>
      <c r="F479" s="10">
        <f t="shared" si="35"/>
        <v>0</v>
      </c>
      <c r="G479" s="5"/>
      <c r="H479" s="1"/>
    </row>
    <row r="480" spans="1:8" x14ac:dyDescent="0.25">
      <c r="A480" s="1" t="s">
        <v>110</v>
      </c>
      <c r="B480" s="7">
        <v>7</v>
      </c>
      <c r="C480" s="10">
        <f>B480*3.4/100</f>
        <v>0.23800000000000002</v>
      </c>
      <c r="D480" s="10">
        <f>B480*0/100</f>
        <v>0</v>
      </c>
      <c r="E480" s="7">
        <f>B480*21.5/100</f>
        <v>1.5049999999999999</v>
      </c>
      <c r="F480" s="10">
        <f>B480*110/100</f>
        <v>7.7</v>
      </c>
      <c r="G480" s="5"/>
      <c r="H480" s="1"/>
    </row>
    <row r="481" spans="1:8" x14ac:dyDescent="0.25">
      <c r="A481" s="1" t="s">
        <v>9</v>
      </c>
      <c r="B481" s="7">
        <v>8</v>
      </c>
      <c r="C481" s="10">
        <f>B481*0/100</f>
        <v>0</v>
      </c>
      <c r="D481" s="10">
        <f>B481*0/100</f>
        <v>0</v>
      </c>
      <c r="E481" s="7">
        <f>B481*99.8/100</f>
        <v>7.984</v>
      </c>
      <c r="F481" s="10">
        <f>B481*379/100</f>
        <v>30.32</v>
      </c>
      <c r="G481" s="5"/>
      <c r="H481" s="1"/>
    </row>
    <row r="482" spans="1:8" x14ac:dyDescent="0.25">
      <c r="A482" s="2" t="s">
        <v>14</v>
      </c>
      <c r="B482" s="5"/>
      <c r="C482" s="5">
        <f>C480+C481</f>
        <v>0.23800000000000002</v>
      </c>
      <c r="D482" s="5">
        <f t="shared" si="36"/>
        <v>0</v>
      </c>
      <c r="E482" s="5">
        <f>E480+E481</f>
        <v>9.4890000000000008</v>
      </c>
      <c r="F482" s="5">
        <f>F480+F481</f>
        <v>38.020000000000003</v>
      </c>
      <c r="G482" s="5">
        <v>180</v>
      </c>
      <c r="H482" s="1"/>
    </row>
    <row r="483" spans="1:8" x14ac:dyDescent="0.25">
      <c r="A483" s="2" t="s">
        <v>163</v>
      </c>
      <c r="B483" s="5">
        <v>40</v>
      </c>
      <c r="C483" s="5">
        <f>B483*0.8/100</f>
        <v>0.32</v>
      </c>
      <c r="D483" s="5">
        <f>B483*0.1/100</f>
        <v>0.04</v>
      </c>
      <c r="E483" s="5">
        <f>B483*3.4/100</f>
        <v>1.36</v>
      </c>
      <c r="F483" s="5">
        <f>B483*14/100</f>
        <v>5.6</v>
      </c>
      <c r="G483" s="5">
        <v>40</v>
      </c>
      <c r="H483" s="1"/>
    </row>
    <row r="484" spans="1:8" x14ac:dyDescent="0.25">
      <c r="A484" s="1" t="s">
        <v>111</v>
      </c>
      <c r="B484" s="7">
        <v>35</v>
      </c>
      <c r="C484" s="10">
        <f>B484*7.7/100</f>
        <v>2.6949999999999998</v>
      </c>
      <c r="D484" s="10">
        <f>B484*3/100</f>
        <v>1.05</v>
      </c>
      <c r="E484" s="7">
        <f>B484*49.8/100</f>
        <v>17.43</v>
      </c>
      <c r="F484" s="10">
        <f>B484*262/100</f>
        <v>91.7</v>
      </c>
      <c r="G484" s="5">
        <v>35</v>
      </c>
      <c r="H484" s="1"/>
    </row>
    <row r="485" spans="1:8" x14ac:dyDescent="0.25">
      <c r="A485" s="1" t="s">
        <v>32</v>
      </c>
      <c r="B485" s="7">
        <v>30</v>
      </c>
      <c r="C485" s="10">
        <f>B485*6.6/100</f>
        <v>1.98</v>
      </c>
      <c r="D485" s="10">
        <f>B485*1.2/100</f>
        <v>0.36</v>
      </c>
      <c r="E485" s="7">
        <f>B485*34.2/100</f>
        <v>10.26</v>
      </c>
      <c r="F485" s="10">
        <f>B485*181/100</f>
        <v>54.3</v>
      </c>
      <c r="G485" s="5">
        <v>30</v>
      </c>
      <c r="H485" s="1"/>
    </row>
    <row r="486" spans="1:8" x14ac:dyDescent="0.25">
      <c r="A486" s="2" t="s">
        <v>76</v>
      </c>
      <c r="B486" s="5"/>
      <c r="C486" s="5">
        <f>C465+C473+C478+C478+C482+C483+C484+C485</f>
        <v>30.846000000000004</v>
      </c>
      <c r="D486" s="5">
        <f>D465+D473+D478+D483+D484+D485</f>
        <v>20.810999999999996</v>
      </c>
      <c r="E486" s="5">
        <f>E465+E473+E478+E482+E483+E484+E485</f>
        <v>81.01700000000001</v>
      </c>
      <c r="F486" s="13">
        <f>F465+F473+F478+F482+F483+F484+F485</f>
        <v>490.49829268292683</v>
      </c>
      <c r="G486" s="5">
        <v>710</v>
      </c>
      <c r="H486" s="1"/>
    </row>
    <row r="487" spans="1:8" x14ac:dyDescent="0.25">
      <c r="A487" s="1"/>
      <c r="B487" s="7"/>
      <c r="C487" s="10">
        <f t="shared" si="34"/>
        <v>0</v>
      </c>
      <c r="D487" s="10">
        <f t="shared" si="36"/>
        <v>0</v>
      </c>
      <c r="E487" s="7">
        <f t="shared" si="37"/>
        <v>0</v>
      </c>
      <c r="F487" s="10">
        <f t="shared" si="35"/>
        <v>0</v>
      </c>
      <c r="G487" s="7"/>
      <c r="H487" s="1"/>
    </row>
    <row r="488" spans="1:8" ht="15.75" x14ac:dyDescent="0.25">
      <c r="A488" s="14" t="s">
        <v>164</v>
      </c>
      <c r="B488" s="16"/>
      <c r="C488" s="16">
        <f>C452+C454+C486</f>
        <v>45.233000000000004</v>
      </c>
      <c r="D488" s="16">
        <f>D452+D454+D486</f>
        <v>40.795999999999992</v>
      </c>
      <c r="E488" s="16">
        <f>E452+E454+E486</f>
        <v>146.82100000000003</v>
      </c>
      <c r="F488" s="19">
        <f>F452+F454+F486</f>
        <v>1197.7082926829269</v>
      </c>
      <c r="G488" s="7"/>
      <c r="H488" s="1"/>
    </row>
    <row r="489" spans="1:8" x14ac:dyDescent="0.25">
      <c r="A489" s="1"/>
      <c r="B489" s="7"/>
      <c r="C489" s="10">
        <f t="shared" si="34"/>
        <v>0</v>
      </c>
      <c r="D489" s="10">
        <f t="shared" si="36"/>
        <v>0</v>
      </c>
      <c r="E489" s="7">
        <f t="shared" si="37"/>
        <v>0</v>
      </c>
      <c r="F489" s="10">
        <f t="shared" si="35"/>
        <v>0</v>
      </c>
      <c r="G489" s="7"/>
      <c r="H489" s="1"/>
    </row>
    <row r="490" spans="1:8" x14ac:dyDescent="0.25">
      <c r="A490" s="1"/>
      <c r="B490" s="7"/>
      <c r="C490" s="10">
        <f t="shared" si="34"/>
        <v>0</v>
      </c>
      <c r="D490" s="10">
        <f t="shared" si="36"/>
        <v>0</v>
      </c>
      <c r="E490" s="7">
        <f t="shared" si="37"/>
        <v>0</v>
      </c>
      <c r="F490" s="10">
        <f t="shared" si="35"/>
        <v>0</v>
      </c>
      <c r="G490" s="7"/>
      <c r="H490" s="2" t="s">
        <v>166</v>
      </c>
    </row>
    <row r="491" spans="1:8" x14ac:dyDescent="0.25">
      <c r="A491" s="1" t="s">
        <v>36</v>
      </c>
      <c r="B491" s="7"/>
      <c r="C491" s="10">
        <f t="shared" si="34"/>
        <v>0</v>
      </c>
      <c r="D491" s="10">
        <f t="shared" si="36"/>
        <v>0</v>
      </c>
      <c r="E491" s="7">
        <f t="shared" si="37"/>
        <v>0</v>
      </c>
      <c r="F491" s="10">
        <f t="shared" si="35"/>
        <v>0</v>
      </c>
      <c r="G491" s="7"/>
      <c r="H491" s="1"/>
    </row>
    <row r="492" spans="1:8" x14ac:dyDescent="0.25">
      <c r="A492" s="1" t="s">
        <v>167</v>
      </c>
      <c r="B492" s="7"/>
      <c r="C492" s="10">
        <f t="shared" si="34"/>
        <v>0</v>
      </c>
      <c r="D492" s="10">
        <f t="shared" si="36"/>
        <v>0</v>
      </c>
      <c r="E492" s="7">
        <f t="shared" si="37"/>
        <v>0</v>
      </c>
      <c r="F492" s="10">
        <f t="shared" si="35"/>
        <v>0</v>
      </c>
      <c r="G492" s="7"/>
      <c r="H492" s="1"/>
    </row>
    <row r="493" spans="1:8" x14ac:dyDescent="0.25">
      <c r="A493" s="1" t="s">
        <v>66</v>
      </c>
      <c r="B493" s="8">
        <v>40</v>
      </c>
      <c r="C493" s="10">
        <f>B493*7/100</f>
        <v>2.8</v>
      </c>
      <c r="D493" s="10">
        <f>B493*1/100</f>
        <v>0.4</v>
      </c>
      <c r="E493" s="7">
        <f>B493*71.4/100</f>
        <v>28.56</v>
      </c>
      <c r="F493" s="10">
        <f>B493*330/100</f>
        <v>132</v>
      </c>
      <c r="G493" s="7"/>
      <c r="H493" s="1"/>
    </row>
    <row r="494" spans="1:8" x14ac:dyDescent="0.25">
      <c r="A494" s="1" t="s">
        <v>7</v>
      </c>
      <c r="B494" s="8">
        <v>20</v>
      </c>
      <c r="C494" s="10">
        <f>B494*3.5/100</f>
        <v>0.7</v>
      </c>
      <c r="D494" s="10">
        <f>B494*3.5/100</f>
        <v>0.7</v>
      </c>
      <c r="E494" s="7">
        <f>B494*4.7/100</f>
        <v>0.94</v>
      </c>
      <c r="F494" s="10">
        <f>B494*61/100</f>
        <v>12.2</v>
      </c>
      <c r="G494" s="7"/>
      <c r="H494" s="1"/>
    </row>
    <row r="495" spans="1:8" x14ac:dyDescent="0.25">
      <c r="A495" s="1" t="s">
        <v>21</v>
      </c>
      <c r="B495" s="8">
        <v>13</v>
      </c>
      <c r="C495" s="10">
        <f>B495*12.7/100</f>
        <v>1.651</v>
      </c>
      <c r="D495" s="10">
        <f>B495*11.5/100</f>
        <v>1.4950000000000001</v>
      </c>
      <c r="E495" s="7">
        <f>B495*0.7/100</f>
        <v>9.0999999999999998E-2</v>
      </c>
      <c r="F495" s="10">
        <f>B495*157/100</f>
        <v>20.41</v>
      </c>
      <c r="G495" s="7"/>
      <c r="H495" s="1"/>
    </row>
    <row r="496" spans="1:8" x14ac:dyDescent="0.25">
      <c r="A496" s="1" t="s">
        <v>9</v>
      </c>
      <c r="B496" s="8">
        <v>10</v>
      </c>
      <c r="C496" s="10">
        <f>B496*0/100</f>
        <v>0</v>
      </c>
      <c r="D496" s="10">
        <f>B496*0/100</f>
        <v>0</v>
      </c>
      <c r="E496" s="7">
        <f>B496*99.8/100</f>
        <v>9.98</v>
      </c>
      <c r="F496" s="10">
        <f>B496*379/100</f>
        <v>37.9</v>
      </c>
      <c r="G496" s="7"/>
      <c r="H496" s="1"/>
    </row>
    <row r="497" spans="1:8" x14ac:dyDescent="0.25">
      <c r="A497" s="1" t="s">
        <v>8</v>
      </c>
      <c r="B497" s="8">
        <v>3</v>
      </c>
      <c r="C497" s="10">
        <f>B497*0.7/100</f>
        <v>2.0999999999999998E-2</v>
      </c>
      <c r="D497" s="10">
        <f t="shared" si="36"/>
        <v>2.1749999999999998</v>
      </c>
      <c r="E497" s="7">
        <f>B497*1/100</f>
        <v>0.03</v>
      </c>
      <c r="F497" s="10">
        <f>B497*709/100</f>
        <v>21.27</v>
      </c>
      <c r="G497" s="7"/>
      <c r="H497" s="1"/>
    </row>
    <row r="498" spans="1:8" x14ac:dyDescent="0.25">
      <c r="A498" s="1" t="s">
        <v>57</v>
      </c>
      <c r="B498" s="8">
        <v>2</v>
      </c>
      <c r="C498" s="10">
        <f>B498*0/100</f>
        <v>0</v>
      </c>
      <c r="D498" s="10">
        <f>B498*99.9/100</f>
        <v>1.9980000000000002</v>
      </c>
      <c r="E498" s="7">
        <f>B498*0/100</f>
        <v>0</v>
      </c>
      <c r="F498" s="10">
        <f>B498*899/100</f>
        <v>17.98</v>
      </c>
      <c r="G498" s="5"/>
      <c r="H498" s="1"/>
    </row>
    <row r="499" spans="1:8" x14ac:dyDescent="0.25">
      <c r="A499" s="1" t="s">
        <v>62</v>
      </c>
      <c r="B499" s="8">
        <v>20</v>
      </c>
      <c r="C499" s="10">
        <f>B499*7.9/100</f>
        <v>1.58</v>
      </c>
      <c r="D499" s="10">
        <f>B499*8.5/100</f>
        <v>1.7</v>
      </c>
      <c r="E499" s="7">
        <f>B499*56/100</f>
        <v>11.2</v>
      </c>
      <c r="F499" s="10">
        <f>B499*320/100</f>
        <v>64</v>
      </c>
      <c r="G499" s="5"/>
      <c r="H499" s="1"/>
    </row>
    <row r="500" spans="1:8" x14ac:dyDescent="0.25">
      <c r="A500" s="2" t="s">
        <v>14</v>
      </c>
      <c r="B500" s="5"/>
      <c r="C500" s="5">
        <f>C493+C494+C495+C496+C497+C498+C499</f>
        <v>6.7519999999999998</v>
      </c>
      <c r="D500" s="5">
        <f>D493+D494+D495+D496+D497+D498+D499</f>
        <v>8.468</v>
      </c>
      <c r="E500" s="5">
        <f>E493+E494+E495+E496+E497+E498+E499</f>
        <v>50.801000000000002</v>
      </c>
      <c r="F500" s="5">
        <f>F493+F494+F495+F496+F497+F498+F499</f>
        <v>305.76</v>
      </c>
      <c r="G500" s="5" t="s">
        <v>169</v>
      </c>
      <c r="H500" s="1"/>
    </row>
    <row r="501" spans="1:8" x14ac:dyDescent="0.25">
      <c r="A501" s="1" t="s">
        <v>168</v>
      </c>
      <c r="B501" s="7"/>
      <c r="C501" s="10">
        <f t="shared" ref="C501:C538" si="38">B501*1.5/100</f>
        <v>0</v>
      </c>
      <c r="D501" s="10">
        <f t="shared" si="36"/>
        <v>0</v>
      </c>
      <c r="E501" s="7">
        <f t="shared" si="37"/>
        <v>0</v>
      </c>
      <c r="F501" s="10">
        <f t="shared" ref="F501:F522" si="39">B501*89/100</f>
        <v>0</v>
      </c>
      <c r="G501" s="5"/>
      <c r="H501" s="1"/>
    </row>
    <row r="502" spans="1:8" x14ac:dyDescent="0.25">
      <c r="A502" s="1" t="s">
        <v>39</v>
      </c>
      <c r="B502" s="8">
        <v>2</v>
      </c>
      <c r="C502" s="10">
        <f>B502*24.2/100</f>
        <v>0.48399999999999999</v>
      </c>
      <c r="D502" s="10">
        <f>B502*17.5/100</f>
        <v>0.35</v>
      </c>
      <c r="E502" s="7">
        <f>B502*27.9/100</f>
        <v>0.55799999999999994</v>
      </c>
      <c r="F502" s="10">
        <f>B502*373/100</f>
        <v>7.46</v>
      </c>
      <c r="G502" s="5"/>
      <c r="H502" s="1"/>
    </row>
    <row r="503" spans="1:8" x14ac:dyDescent="0.25">
      <c r="A503" s="1" t="s">
        <v>99</v>
      </c>
      <c r="B503" s="7">
        <v>80</v>
      </c>
      <c r="C503" s="10">
        <f>B503*2.8/100</f>
        <v>2.2400000000000002</v>
      </c>
      <c r="D503" s="10">
        <f>B503*3.5/100</f>
        <v>2.8</v>
      </c>
      <c r="E503" s="7">
        <f>B503*4.7/100</f>
        <v>3.76</v>
      </c>
      <c r="F503" s="10">
        <f>B503*61/100</f>
        <v>48.8</v>
      </c>
      <c r="G503" s="5"/>
      <c r="H503" s="1"/>
    </row>
    <row r="504" spans="1:8" x14ac:dyDescent="0.25">
      <c r="A504" s="1" t="s">
        <v>9</v>
      </c>
      <c r="B504" s="8">
        <v>8</v>
      </c>
      <c r="C504" s="10">
        <f>B504*0/100</f>
        <v>0</v>
      </c>
      <c r="D504" s="10">
        <f>B504*0/100</f>
        <v>0</v>
      </c>
      <c r="E504" s="7">
        <f>B504*99.8/100</f>
        <v>7.984</v>
      </c>
      <c r="F504" s="10">
        <f>B504*379/100</f>
        <v>30.32</v>
      </c>
      <c r="G504" s="5"/>
      <c r="H504" s="1"/>
    </row>
    <row r="505" spans="1:8" x14ac:dyDescent="0.25">
      <c r="A505" s="2" t="s">
        <v>14</v>
      </c>
      <c r="B505" s="5"/>
      <c r="C505" s="5">
        <f>C502+C503+C504</f>
        <v>2.7240000000000002</v>
      </c>
      <c r="D505" s="5">
        <f>D502+D503+D504</f>
        <v>3.15</v>
      </c>
      <c r="E505" s="5">
        <f>E502+E503+E504</f>
        <v>12.302</v>
      </c>
      <c r="F505" s="5">
        <f>F502+F503+F504</f>
        <v>86.58</v>
      </c>
      <c r="G505" s="5">
        <v>200</v>
      </c>
      <c r="H505" s="1"/>
    </row>
    <row r="506" spans="1:8" x14ac:dyDescent="0.25">
      <c r="A506" s="1" t="s">
        <v>111</v>
      </c>
      <c r="B506" s="7">
        <v>40</v>
      </c>
      <c r="C506" s="10">
        <f>B506*7.7/100</f>
        <v>3.08</v>
      </c>
      <c r="D506" s="10">
        <f>B506*3/100</f>
        <v>1.2</v>
      </c>
      <c r="E506" s="7">
        <f>B506*49.8/100</f>
        <v>19.920000000000002</v>
      </c>
      <c r="F506" s="10">
        <f>B506*262/100</f>
        <v>104.8</v>
      </c>
      <c r="G506" s="5">
        <v>40</v>
      </c>
      <c r="H506" s="1"/>
    </row>
    <row r="507" spans="1:8" x14ac:dyDescent="0.25">
      <c r="A507" s="1" t="s">
        <v>8</v>
      </c>
      <c r="B507" s="7">
        <v>8</v>
      </c>
      <c r="C507" s="10">
        <f>B507*0.7/100</f>
        <v>5.5999999999999994E-2</v>
      </c>
      <c r="D507" s="10">
        <f t="shared" si="36"/>
        <v>5.8</v>
      </c>
      <c r="E507" s="7">
        <f>B507*1/100</f>
        <v>0.08</v>
      </c>
      <c r="F507" s="10">
        <f>B507*709/100</f>
        <v>56.72</v>
      </c>
      <c r="G507" s="5">
        <v>10</v>
      </c>
      <c r="H507" s="1"/>
    </row>
    <row r="508" spans="1:8" x14ac:dyDescent="0.25">
      <c r="A508" s="2" t="s">
        <v>118</v>
      </c>
      <c r="B508" s="5"/>
      <c r="C508" s="5">
        <f>C500+C505+C506+C507</f>
        <v>12.611999999999998</v>
      </c>
      <c r="D508" s="5">
        <f>D500+D505+D506+D507</f>
        <v>18.617999999999999</v>
      </c>
      <c r="E508" s="5">
        <f>E500+E505+E506+E507</f>
        <v>83.102999999999994</v>
      </c>
      <c r="F508" s="5">
        <f>F500+F505+F506+F507</f>
        <v>553.86</v>
      </c>
      <c r="G508" s="5">
        <v>495</v>
      </c>
      <c r="H508" s="1"/>
    </row>
    <row r="509" spans="1:8" x14ac:dyDescent="0.25">
      <c r="A509" s="1"/>
      <c r="B509" s="7"/>
      <c r="C509" s="10">
        <f t="shared" si="38"/>
        <v>0</v>
      </c>
      <c r="D509" s="10">
        <f t="shared" si="36"/>
        <v>0</v>
      </c>
      <c r="E509" s="7">
        <f t="shared" si="37"/>
        <v>0</v>
      </c>
      <c r="F509" s="10">
        <f t="shared" si="39"/>
        <v>0</v>
      </c>
      <c r="G509" s="5"/>
      <c r="H509" s="1"/>
    </row>
    <row r="510" spans="1:8" x14ac:dyDescent="0.25">
      <c r="A510" s="2" t="s">
        <v>191</v>
      </c>
      <c r="B510" s="5">
        <v>120</v>
      </c>
      <c r="C510" s="5">
        <f>B510*5/100</f>
        <v>6</v>
      </c>
      <c r="D510" s="5">
        <f>B510*1.5/100</f>
        <v>1.8</v>
      </c>
      <c r="E510" s="5">
        <f>B510*8.5/100</f>
        <v>10.199999999999999</v>
      </c>
      <c r="F510" s="5">
        <f>B510*51/100</f>
        <v>61.2</v>
      </c>
      <c r="G510" s="5">
        <v>120</v>
      </c>
      <c r="H510" s="1"/>
    </row>
    <row r="511" spans="1:8" x14ac:dyDescent="0.25">
      <c r="A511" s="1"/>
      <c r="B511" s="7"/>
      <c r="C511" s="10">
        <f t="shared" si="38"/>
        <v>0</v>
      </c>
      <c r="D511" s="10">
        <f t="shared" si="36"/>
        <v>0</v>
      </c>
      <c r="E511" s="7">
        <f t="shared" si="37"/>
        <v>0</v>
      </c>
      <c r="F511" s="10">
        <f t="shared" si="39"/>
        <v>0</v>
      </c>
      <c r="G511" s="7"/>
      <c r="H511" s="1"/>
    </row>
    <row r="512" spans="1:8" x14ac:dyDescent="0.25">
      <c r="A512" s="1" t="s">
        <v>33</v>
      </c>
      <c r="B512" s="7"/>
      <c r="C512" s="10">
        <f t="shared" si="38"/>
        <v>0</v>
      </c>
      <c r="D512" s="10">
        <f t="shared" si="36"/>
        <v>0</v>
      </c>
      <c r="E512" s="7">
        <f t="shared" si="37"/>
        <v>0</v>
      </c>
      <c r="F512" s="10">
        <f t="shared" si="39"/>
        <v>0</v>
      </c>
      <c r="G512" s="7"/>
      <c r="H512" s="1"/>
    </row>
    <row r="513" spans="1:8" x14ac:dyDescent="0.25">
      <c r="A513" s="1" t="s">
        <v>170</v>
      </c>
      <c r="B513" s="7"/>
      <c r="C513" s="10">
        <f t="shared" si="38"/>
        <v>0</v>
      </c>
      <c r="D513" s="10">
        <f t="shared" si="36"/>
        <v>0</v>
      </c>
      <c r="E513" s="7">
        <f t="shared" si="37"/>
        <v>0</v>
      </c>
      <c r="F513" s="10">
        <f t="shared" si="39"/>
        <v>0</v>
      </c>
      <c r="G513" s="7"/>
      <c r="H513" s="1"/>
    </row>
    <row r="514" spans="1:8" x14ac:dyDescent="0.25">
      <c r="A514" s="1" t="s">
        <v>41</v>
      </c>
      <c r="B514" s="8">
        <v>30</v>
      </c>
      <c r="C514" s="10">
        <f>B514*18.6/100</f>
        <v>5.58</v>
      </c>
      <c r="D514" s="10">
        <f>B514*16/100</f>
        <v>4.8</v>
      </c>
      <c r="E514" s="7">
        <f>B514*0/100</f>
        <v>0</v>
      </c>
      <c r="F514" s="10">
        <f>B514*218/100</f>
        <v>65.400000000000006</v>
      </c>
      <c r="G514" s="7"/>
      <c r="H514" s="1"/>
    </row>
    <row r="515" spans="1:8" x14ac:dyDescent="0.25">
      <c r="A515" s="1" t="s">
        <v>15</v>
      </c>
      <c r="B515" s="8">
        <v>40</v>
      </c>
      <c r="C515" s="10">
        <f>B515*2.8/100</f>
        <v>1.1200000000000001</v>
      </c>
      <c r="D515" s="10">
        <f>B515*0.4/100</f>
        <v>0.16</v>
      </c>
      <c r="E515" s="7">
        <f>B515*17.3/100</f>
        <v>6.92</v>
      </c>
      <c r="F515" s="10">
        <f>B515*80/100</f>
        <v>32</v>
      </c>
      <c r="G515" s="7"/>
      <c r="H515" s="1"/>
    </row>
    <row r="516" spans="1:8" x14ac:dyDescent="0.25">
      <c r="A516" s="1" t="s">
        <v>20</v>
      </c>
      <c r="B516" s="8">
        <v>11</v>
      </c>
      <c r="C516" s="10">
        <f>B516*1.4/100</f>
        <v>0.154</v>
      </c>
      <c r="D516" s="10">
        <f>B516*0/100</f>
        <v>0</v>
      </c>
      <c r="E516" s="7">
        <f>B516*9.1/100</f>
        <v>1.0009999999999999</v>
      </c>
      <c r="F516" s="10">
        <f>B516*41/100</f>
        <v>4.51</v>
      </c>
      <c r="G516" s="7"/>
      <c r="H516" s="1"/>
    </row>
    <row r="517" spans="1:8" x14ac:dyDescent="0.25">
      <c r="A517" s="1" t="s">
        <v>171</v>
      </c>
      <c r="B517" s="8">
        <v>11</v>
      </c>
      <c r="C517" s="10">
        <f>B517*1.3/100</f>
        <v>0.14300000000000002</v>
      </c>
      <c r="D517" s="10">
        <f>B517*0.1/100</f>
        <v>1.1000000000000001E-2</v>
      </c>
      <c r="E517" s="7">
        <f>B517*8.4/100</f>
        <v>0.92400000000000004</v>
      </c>
      <c r="F517" s="10">
        <f>B517*34/100</f>
        <v>3.74</v>
      </c>
      <c r="G517" s="7"/>
      <c r="H517" s="1"/>
    </row>
    <row r="518" spans="1:8" x14ac:dyDescent="0.25">
      <c r="A518" s="1" t="s">
        <v>28</v>
      </c>
      <c r="B518" s="10">
        <v>4</v>
      </c>
      <c r="C518" s="10">
        <f>B518*4.8/100</f>
        <v>0.192</v>
      </c>
      <c r="D518" s="10">
        <f>B518*0/100</f>
        <v>0</v>
      </c>
      <c r="E518" s="7">
        <f>B518*19/100</f>
        <v>0.76</v>
      </c>
      <c r="F518" s="10">
        <f>B518*99/100</f>
        <v>3.96</v>
      </c>
      <c r="G518" s="7"/>
      <c r="H518" s="1"/>
    </row>
    <row r="519" spans="1:8" x14ac:dyDescent="0.25">
      <c r="A519" s="1" t="s">
        <v>8</v>
      </c>
      <c r="B519" s="8">
        <v>2</v>
      </c>
      <c r="C519" s="10">
        <f>B519*0.7/100</f>
        <v>1.3999999999999999E-2</v>
      </c>
      <c r="D519" s="10">
        <f>B519*72.5/100</f>
        <v>1.45</v>
      </c>
      <c r="E519" s="7">
        <f>B519*1/100</f>
        <v>0.02</v>
      </c>
      <c r="F519" s="10">
        <f>B519*709/100</f>
        <v>14.18</v>
      </c>
      <c r="G519" s="7"/>
      <c r="H519" s="1"/>
    </row>
    <row r="520" spans="1:8" x14ac:dyDescent="0.25">
      <c r="A520" s="1" t="s">
        <v>21</v>
      </c>
      <c r="B520" s="8">
        <v>6</v>
      </c>
      <c r="C520" s="10">
        <f>B520*12.7/100</f>
        <v>0.7619999999999999</v>
      </c>
      <c r="D520" s="10">
        <f>B520*11.5/100</f>
        <v>0.69</v>
      </c>
      <c r="E520" s="7">
        <f>B520*0.7/100</f>
        <v>4.1999999999999996E-2</v>
      </c>
      <c r="F520" s="10">
        <f>B520*157/100</f>
        <v>9.42</v>
      </c>
      <c r="G520" s="5"/>
      <c r="H520" s="1"/>
    </row>
    <row r="521" spans="1:8" x14ac:dyDescent="0.25">
      <c r="A521" s="2" t="s">
        <v>14</v>
      </c>
      <c r="B521" s="5"/>
      <c r="C521" s="5">
        <f>C514+C515+C516+C517+C518+C519+C520</f>
        <v>7.9649999999999999</v>
      </c>
      <c r="D521" s="5">
        <f>D514+D515+D516+D517+D518+D519+D520</f>
        <v>7.1110000000000007</v>
      </c>
      <c r="E521" s="5">
        <f>E515+E516+E517+E518+E519+E520</f>
        <v>9.666999999999998</v>
      </c>
      <c r="F521" s="5">
        <f>F514+F515+F516+F517+F518+F519+F520</f>
        <v>133.20999999999998</v>
      </c>
      <c r="G521" s="5" t="s">
        <v>180</v>
      </c>
      <c r="H521" s="1"/>
    </row>
    <row r="522" spans="1:8" x14ac:dyDescent="0.25">
      <c r="A522" s="1" t="s">
        <v>172</v>
      </c>
      <c r="B522" s="7"/>
      <c r="C522" s="10">
        <f t="shared" si="38"/>
        <v>0</v>
      </c>
      <c r="D522" s="10">
        <f t="shared" si="36"/>
        <v>0</v>
      </c>
      <c r="E522" s="7">
        <f t="shared" si="37"/>
        <v>0</v>
      </c>
      <c r="F522" s="10">
        <f t="shared" si="39"/>
        <v>0</v>
      </c>
      <c r="G522" s="5"/>
      <c r="H522" s="1"/>
    </row>
    <row r="523" spans="1:8" x14ac:dyDescent="0.25">
      <c r="A523" s="1" t="s">
        <v>173</v>
      </c>
      <c r="B523" s="8">
        <v>70</v>
      </c>
      <c r="C523" s="10">
        <f>B523*17.9/100</f>
        <v>12.53</v>
      </c>
      <c r="D523" s="10">
        <f>B523*3.7/100</f>
        <v>2.59</v>
      </c>
      <c r="E523" s="7">
        <f>B523*0/100</f>
        <v>0</v>
      </c>
      <c r="F523" s="10">
        <f>B523*105/100</f>
        <v>73.5</v>
      </c>
      <c r="G523" s="5"/>
      <c r="H523" s="1"/>
    </row>
    <row r="524" spans="1:8" x14ac:dyDescent="0.25">
      <c r="A524" s="1" t="s">
        <v>7</v>
      </c>
      <c r="B524" s="8">
        <v>20</v>
      </c>
      <c r="C524" s="10">
        <f>B524*2.8/100</f>
        <v>0.56000000000000005</v>
      </c>
      <c r="D524" s="10">
        <f>B524*3.5/100</f>
        <v>0.7</v>
      </c>
      <c r="E524" s="7">
        <f>B524*4.7/100</f>
        <v>0.94</v>
      </c>
      <c r="F524" s="10">
        <f>B524*61/100</f>
        <v>12.2</v>
      </c>
      <c r="G524" s="5"/>
      <c r="H524" s="1"/>
    </row>
    <row r="525" spans="1:8" x14ac:dyDescent="0.25">
      <c r="A525" s="1" t="s">
        <v>20</v>
      </c>
      <c r="B525" s="8">
        <v>22</v>
      </c>
      <c r="C525" s="10">
        <f>B525*1.4/100</f>
        <v>0.308</v>
      </c>
      <c r="D525" s="10">
        <f>B525*0/100</f>
        <v>0</v>
      </c>
      <c r="E525" s="7">
        <f>B525*9.1/100</f>
        <v>2.0019999999999998</v>
      </c>
      <c r="F525" s="10">
        <f>B525*41/100</f>
        <v>9.02</v>
      </c>
      <c r="G525" s="5"/>
      <c r="H525" s="1"/>
    </row>
    <row r="526" spans="1:8" x14ac:dyDescent="0.25">
      <c r="A526" s="1" t="s">
        <v>16</v>
      </c>
      <c r="B526" s="8">
        <v>11</v>
      </c>
      <c r="C526" s="10">
        <f>B526*1.3/100</f>
        <v>0.14300000000000002</v>
      </c>
      <c r="D526" s="10">
        <f>B526*0.1/100</f>
        <v>1.1000000000000001E-2</v>
      </c>
      <c r="E526" s="7">
        <f>B526*8.4/100</f>
        <v>0.92400000000000004</v>
      </c>
      <c r="F526" s="10">
        <f>B526*34/100</f>
        <v>3.74</v>
      </c>
      <c r="G526" s="5"/>
      <c r="H526" s="1"/>
    </row>
    <row r="527" spans="1:8" x14ac:dyDescent="0.25">
      <c r="A527" s="1" t="s">
        <v>21</v>
      </c>
      <c r="B527" s="8">
        <v>13</v>
      </c>
      <c r="C527" s="10">
        <f>B527*12.7/100</f>
        <v>1.651</v>
      </c>
      <c r="D527" s="10">
        <f>B527*11.5/100</f>
        <v>1.4950000000000001</v>
      </c>
      <c r="E527" s="7">
        <f>B527*0.7/100</f>
        <v>9.0999999999999998E-2</v>
      </c>
      <c r="F527" s="10">
        <f>B527*157/100</f>
        <v>20.41</v>
      </c>
      <c r="G527" s="5"/>
      <c r="H527" s="1"/>
    </row>
    <row r="528" spans="1:8" x14ac:dyDescent="0.25">
      <c r="A528" s="1" t="s">
        <v>123</v>
      </c>
      <c r="B528" s="8">
        <v>3</v>
      </c>
      <c r="C528" s="10">
        <f>B528*10.3/100</f>
        <v>0.309</v>
      </c>
      <c r="D528" s="10">
        <f>B528*1.1/100</f>
        <v>3.3000000000000002E-2</v>
      </c>
      <c r="E528" s="7">
        <f>B528*69/100</f>
        <v>2.0699999999999998</v>
      </c>
      <c r="F528" s="10">
        <f>B528*334/100</f>
        <v>10.02</v>
      </c>
      <c r="G528" s="5"/>
      <c r="H528" s="1"/>
    </row>
    <row r="529" spans="1:11" x14ac:dyDescent="0.25">
      <c r="A529" s="1" t="s">
        <v>28</v>
      </c>
      <c r="B529" s="8">
        <v>4</v>
      </c>
      <c r="C529" s="10">
        <f>B529*4.8/100</f>
        <v>0.192</v>
      </c>
      <c r="D529" s="10">
        <f>B529*0/100</f>
        <v>0</v>
      </c>
      <c r="E529" s="7">
        <f>B529*19/100</f>
        <v>0.76</v>
      </c>
      <c r="F529" s="10">
        <f>B529*99/100</f>
        <v>3.96</v>
      </c>
      <c r="G529" s="5"/>
      <c r="H529" s="1"/>
    </row>
    <row r="530" spans="1:11" x14ac:dyDescent="0.25">
      <c r="A530" s="1" t="s">
        <v>8</v>
      </c>
      <c r="B530" s="8">
        <v>2</v>
      </c>
      <c r="C530" s="10">
        <f>B530*0.7/100</f>
        <v>1.3999999999999999E-2</v>
      </c>
      <c r="D530" s="10">
        <f t="shared" ref="D530:D538" si="40">B530*72.5/100</f>
        <v>1.45</v>
      </c>
      <c r="E530" s="7">
        <f>B530*1/100</f>
        <v>0.02</v>
      </c>
      <c r="F530" s="10">
        <f>B530*709/100</f>
        <v>14.18</v>
      </c>
      <c r="G530" s="5"/>
      <c r="H530" s="1"/>
    </row>
    <row r="531" spans="1:11" x14ac:dyDescent="0.25">
      <c r="A531" s="1" t="s">
        <v>57</v>
      </c>
      <c r="B531" s="8">
        <v>3</v>
      </c>
      <c r="C531" s="10">
        <f>B531*0/100</f>
        <v>0</v>
      </c>
      <c r="D531" s="10">
        <f>B531*99.9/100</f>
        <v>2.9970000000000003</v>
      </c>
      <c r="E531" s="7">
        <f>B531*0/100</f>
        <v>0</v>
      </c>
      <c r="F531" s="10">
        <f>B531*899/100</f>
        <v>26.97</v>
      </c>
      <c r="G531" s="5"/>
      <c r="H531" s="1"/>
    </row>
    <row r="532" spans="1:11" x14ac:dyDescent="0.25">
      <c r="A532" s="2" t="s">
        <v>14</v>
      </c>
      <c r="B532" s="5"/>
      <c r="C532" s="5">
        <f>C523+C524+C525+C526+C527+C528+C529+C530+C531</f>
        <v>15.706999999999999</v>
      </c>
      <c r="D532" s="5">
        <f>D523+D524+D525+D526+D527+D528+D529+D530+D531</f>
        <v>9.2760000000000016</v>
      </c>
      <c r="E532" s="5">
        <f>E524+E525+E526+E527+E528+E529+E530+E531</f>
        <v>6.8069999999999986</v>
      </c>
      <c r="F532" s="5">
        <f>F523+F524+F525+F526+F527+F528+F529+F530+F531</f>
        <v>174</v>
      </c>
      <c r="G532" s="5" t="s">
        <v>181</v>
      </c>
      <c r="H532" s="1"/>
    </row>
    <row r="533" spans="1:11" x14ac:dyDescent="0.25">
      <c r="A533" s="1" t="s">
        <v>174</v>
      </c>
      <c r="B533" s="7"/>
      <c r="C533" s="10">
        <f t="shared" si="38"/>
        <v>0</v>
      </c>
      <c r="D533" s="10">
        <f t="shared" si="40"/>
        <v>0</v>
      </c>
      <c r="E533" s="7">
        <f t="shared" ref="E533:E538" si="41">B533*49.8/100</f>
        <v>0</v>
      </c>
      <c r="F533" s="10">
        <f t="shared" ref="F533:F538" si="42">B533*709/100</f>
        <v>0</v>
      </c>
      <c r="G533" s="5"/>
      <c r="H533" s="1"/>
    </row>
    <row r="534" spans="1:11" x14ac:dyDescent="0.25">
      <c r="A534" s="1" t="s">
        <v>175</v>
      </c>
      <c r="B534" s="8">
        <v>30</v>
      </c>
      <c r="C534" s="10">
        <f>B534*0.8/100</f>
        <v>0.24</v>
      </c>
      <c r="D534" s="10">
        <f>B534*0.4/100</f>
        <v>0.12</v>
      </c>
      <c r="E534" s="7">
        <f>B534*6.3/100</f>
        <v>1.89</v>
      </c>
      <c r="F534" s="10">
        <f>B534*34/100</f>
        <v>10.199999999999999</v>
      </c>
      <c r="G534" s="5"/>
      <c r="H534" s="1"/>
    </row>
    <row r="535" spans="1:11" x14ac:dyDescent="0.25">
      <c r="A535" s="1" t="s">
        <v>53</v>
      </c>
      <c r="B535" s="7">
        <v>2</v>
      </c>
      <c r="C535" s="10">
        <f>B535*0.1/100</f>
        <v>2E-3</v>
      </c>
      <c r="D535" s="10">
        <f>B535*0/100</f>
        <v>0</v>
      </c>
      <c r="E535" s="7">
        <f>B535*0/100</f>
        <v>0</v>
      </c>
      <c r="F535" s="10">
        <f>B535*79.6/100</f>
        <v>1.5919999999999999</v>
      </c>
      <c r="G535" s="5"/>
      <c r="H535" s="1"/>
    </row>
    <row r="536" spans="1:11" x14ac:dyDescent="0.25">
      <c r="A536" s="1" t="s">
        <v>9</v>
      </c>
      <c r="B536" s="7">
        <v>9</v>
      </c>
      <c r="C536" s="10">
        <f>B536*0/100</f>
        <v>0</v>
      </c>
      <c r="D536" s="10">
        <f>B536*0/100</f>
        <v>0</v>
      </c>
      <c r="E536" s="7">
        <f>B536*99.8/100</f>
        <v>8.9819999999999993</v>
      </c>
      <c r="F536" s="10">
        <f>B536*379/100</f>
        <v>34.11</v>
      </c>
      <c r="G536" s="5"/>
      <c r="H536" s="1"/>
    </row>
    <row r="537" spans="1:11" x14ac:dyDescent="0.25">
      <c r="A537" s="2" t="s">
        <v>14</v>
      </c>
      <c r="B537" s="5"/>
      <c r="C537" s="5">
        <f>C534+C535</f>
        <v>0.24199999999999999</v>
      </c>
      <c r="D537" s="5">
        <f>D534+D535+D536</f>
        <v>0.12</v>
      </c>
      <c r="E537" s="5">
        <f>E534+E535+E536</f>
        <v>10.872</v>
      </c>
      <c r="F537" s="5">
        <f>F534+F535+F536</f>
        <v>45.902000000000001</v>
      </c>
      <c r="G537" s="5">
        <v>200</v>
      </c>
      <c r="H537" s="1"/>
      <c r="J537" s="4"/>
      <c r="K537" s="4"/>
    </row>
    <row r="538" spans="1:11" x14ac:dyDescent="0.25">
      <c r="A538" s="1" t="s">
        <v>176</v>
      </c>
      <c r="B538" s="7"/>
      <c r="C538" s="10">
        <f t="shared" si="38"/>
        <v>0</v>
      </c>
      <c r="D538" s="10">
        <f t="shared" si="40"/>
        <v>0</v>
      </c>
      <c r="E538" s="7">
        <f t="shared" si="41"/>
        <v>0</v>
      </c>
      <c r="F538" s="10">
        <f t="shared" si="42"/>
        <v>0</v>
      </c>
      <c r="G538" s="5"/>
      <c r="H538" s="1"/>
    </row>
    <row r="539" spans="1:11" x14ac:dyDescent="0.25">
      <c r="A539" s="1" t="s">
        <v>42</v>
      </c>
      <c r="B539" s="8">
        <v>40</v>
      </c>
      <c r="C539" s="10">
        <f>B539*1.5/100</f>
        <v>0.6</v>
      </c>
      <c r="D539" s="10">
        <f>B539*0.1/100</f>
        <v>0.04</v>
      </c>
      <c r="E539" s="7">
        <f>B539*10/100</f>
        <v>4</v>
      </c>
      <c r="F539" s="10">
        <f>B539*42/100</f>
        <v>16.8</v>
      </c>
      <c r="G539" s="5"/>
      <c r="H539" s="1"/>
    </row>
    <row r="540" spans="1:11" x14ac:dyDescent="0.25">
      <c r="A540" s="1" t="s">
        <v>177</v>
      </c>
      <c r="B540" s="8">
        <v>20</v>
      </c>
      <c r="C540" s="10">
        <f>B540*3.2/100</f>
        <v>0.64</v>
      </c>
      <c r="D540" s="10">
        <f>B540*0.2/100</f>
        <v>0.04</v>
      </c>
      <c r="E540" s="7">
        <f>B540*6.5/100</f>
        <v>1.3</v>
      </c>
      <c r="F540" s="10">
        <f>B540*40/100</f>
        <v>8</v>
      </c>
      <c r="G540" s="5"/>
      <c r="H540" s="1"/>
    </row>
    <row r="541" spans="1:11" x14ac:dyDescent="0.25">
      <c r="A541" s="1" t="s">
        <v>57</v>
      </c>
      <c r="B541" s="7">
        <v>5</v>
      </c>
      <c r="C541" s="10">
        <f t="shared" ref="C541:C548" si="43">B541*3.2/100</f>
        <v>0.16</v>
      </c>
      <c r="D541" s="10">
        <f t="shared" ref="D541:D548" si="44">B541*0.2/100</f>
        <v>0.01</v>
      </c>
      <c r="E541" s="7">
        <f t="shared" ref="E541:E548" si="45">B541*6.5/100</f>
        <v>0.32500000000000001</v>
      </c>
      <c r="F541" s="10">
        <f>B541*899/100</f>
        <v>44.95</v>
      </c>
      <c r="G541" s="5"/>
      <c r="H541" s="1"/>
    </row>
    <row r="542" spans="1:11" x14ac:dyDescent="0.25">
      <c r="A542" s="2" t="s">
        <v>14</v>
      </c>
      <c r="B542" s="5"/>
      <c r="C542" s="5">
        <f>C539+C540+C541</f>
        <v>1.4</v>
      </c>
      <c r="D542" s="5">
        <f>D539+D540+D541</f>
        <v>0.09</v>
      </c>
      <c r="E542" s="5">
        <f>E539+E540+E541</f>
        <v>5.625</v>
      </c>
      <c r="F542" s="5">
        <f>F539+F540+F541</f>
        <v>69.75</v>
      </c>
      <c r="G542" s="5">
        <v>60</v>
      </c>
      <c r="H542" s="1"/>
    </row>
    <row r="543" spans="1:11" x14ac:dyDescent="0.25">
      <c r="A543" s="1" t="s">
        <v>111</v>
      </c>
      <c r="B543" s="7">
        <v>35</v>
      </c>
      <c r="C543" s="10">
        <f>B543*7.7/100</f>
        <v>2.6949999999999998</v>
      </c>
      <c r="D543" s="10">
        <f>B543*3/100</f>
        <v>1.05</v>
      </c>
      <c r="E543" s="7">
        <f>B543*49.8/100</f>
        <v>17.43</v>
      </c>
      <c r="F543" s="10">
        <f>B543*262/100</f>
        <v>91.7</v>
      </c>
      <c r="G543" s="5">
        <v>35</v>
      </c>
      <c r="H543" s="1"/>
    </row>
    <row r="544" spans="1:11" x14ac:dyDescent="0.25">
      <c r="A544" s="1" t="s">
        <v>32</v>
      </c>
      <c r="B544" s="7">
        <v>35</v>
      </c>
      <c r="C544" s="10">
        <f>B544*6.6/100</f>
        <v>2.31</v>
      </c>
      <c r="D544" s="10">
        <f>B544*1.8/100</f>
        <v>0.63</v>
      </c>
      <c r="E544" s="7">
        <f>B544*34.2/100</f>
        <v>11.97</v>
      </c>
      <c r="F544" s="10">
        <f>B544*181/100</f>
        <v>63.35</v>
      </c>
      <c r="G544" s="5">
        <v>35</v>
      </c>
      <c r="H544" s="1"/>
    </row>
    <row r="545" spans="1:8" x14ac:dyDescent="0.25">
      <c r="A545" s="2" t="s">
        <v>178</v>
      </c>
      <c r="B545" s="5"/>
      <c r="C545" s="5">
        <f>C521+C532+C537+C542+C543+C544</f>
        <v>30.318999999999996</v>
      </c>
      <c r="D545" s="5">
        <f>D521+D532+D537+D542+D543+D544</f>
        <v>18.277000000000001</v>
      </c>
      <c r="E545" s="5">
        <f>E521+E532+E537+E542+E543+E544</f>
        <v>62.370999999999995</v>
      </c>
      <c r="F545" s="5">
        <f>F521+F532+F537+F542+F543+F544</f>
        <v>577.91200000000003</v>
      </c>
      <c r="G545" s="5">
        <v>675</v>
      </c>
      <c r="H545" s="1"/>
    </row>
    <row r="546" spans="1:8" x14ac:dyDescent="0.25">
      <c r="A546" s="1"/>
      <c r="B546" s="7"/>
      <c r="C546" s="10">
        <f t="shared" si="43"/>
        <v>0</v>
      </c>
      <c r="D546" s="10">
        <f t="shared" si="44"/>
        <v>0</v>
      </c>
      <c r="E546" s="7">
        <f t="shared" si="45"/>
        <v>0</v>
      </c>
      <c r="F546" s="10">
        <f t="shared" ref="F546:F548" si="46">B546*899/100</f>
        <v>0</v>
      </c>
      <c r="G546" s="5"/>
      <c r="H546" s="1"/>
    </row>
    <row r="547" spans="1:8" ht="15.75" x14ac:dyDescent="0.25">
      <c r="A547" s="14" t="s">
        <v>179</v>
      </c>
      <c r="B547" s="16"/>
      <c r="C547" s="16">
        <f>C508+C510+C545</f>
        <v>48.930999999999997</v>
      </c>
      <c r="D547" s="16">
        <f>D508+D510+D545</f>
        <v>38.695</v>
      </c>
      <c r="E547" s="16">
        <f>E508+E510+E545</f>
        <v>155.67399999999998</v>
      </c>
      <c r="F547" s="16">
        <f>F508+F510+F545</f>
        <v>1192.9720000000002</v>
      </c>
      <c r="G547" s="7"/>
      <c r="H547" s="1"/>
    </row>
    <row r="548" spans="1:8" x14ac:dyDescent="0.25">
      <c r="A548" s="1"/>
      <c r="B548" s="7"/>
      <c r="C548" s="10">
        <f t="shared" si="43"/>
        <v>0</v>
      </c>
      <c r="D548" s="10">
        <f t="shared" si="44"/>
        <v>0</v>
      </c>
      <c r="E548" s="7">
        <f t="shared" si="45"/>
        <v>0</v>
      </c>
      <c r="F548" s="10">
        <f t="shared" si="46"/>
        <v>0</v>
      </c>
      <c r="G548" s="7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47" workbookViewId="0">
      <selection activeCell="I43" sqref="I43"/>
    </sheetView>
  </sheetViews>
  <sheetFormatPr defaultRowHeight="15" x14ac:dyDescent="0.25"/>
  <cols>
    <col min="1" max="1" width="34.140625" customWidth="1"/>
    <col min="7" max="8" width="7.7109375" customWidth="1"/>
    <col min="9" max="9" width="16.7109375" customWidth="1"/>
  </cols>
  <sheetData>
    <row r="1" spans="1:9" x14ac:dyDescent="0.25">
      <c r="A1" s="1"/>
      <c r="B1" s="7"/>
      <c r="C1" s="10"/>
      <c r="D1" s="10"/>
      <c r="E1" s="7"/>
      <c r="F1" s="10"/>
      <c r="G1" s="5"/>
      <c r="H1" s="5" t="s">
        <v>58</v>
      </c>
      <c r="I1" s="2" t="s">
        <v>197</v>
      </c>
    </row>
    <row r="2" spans="1:9" x14ac:dyDescent="0.25">
      <c r="A2" s="1" t="s">
        <v>36</v>
      </c>
      <c r="B2" s="7"/>
      <c r="C2" s="10"/>
      <c r="D2" s="10"/>
      <c r="E2" s="7"/>
      <c r="F2" s="10"/>
      <c r="G2" s="5"/>
      <c r="H2" s="5"/>
      <c r="I2" s="1"/>
    </row>
    <row r="3" spans="1:9" x14ac:dyDescent="0.25">
      <c r="A3" s="25" t="s">
        <v>334</v>
      </c>
      <c r="B3" s="7"/>
      <c r="C3" s="10"/>
      <c r="D3" s="10"/>
      <c r="E3" s="7"/>
      <c r="F3" s="10"/>
      <c r="G3" s="7"/>
      <c r="H3" s="7"/>
      <c r="I3" s="1"/>
    </row>
    <row r="4" spans="1:9" x14ac:dyDescent="0.25">
      <c r="A4" s="1" t="s">
        <v>81</v>
      </c>
      <c r="B4" s="8">
        <v>25</v>
      </c>
      <c r="C4" s="10">
        <f>B4*10.7/100</f>
        <v>2.6749999999999998</v>
      </c>
      <c r="D4" s="10">
        <f>B4*1.3/100</f>
        <v>0.32500000000000001</v>
      </c>
      <c r="E4" s="7">
        <f>B4*68.4/100</f>
        <v>17.100000000000001</v>
      </c>
      <c r="F4" s="10">
        <f>B4*335/100</f>
        <v>83.75</v>
      </c>
      <c r="G4" s="7"/>
      <c r="H4" s="7"/>
      <c r="I4" s="1"/>
    </row>
    <row r="5" spans="1:9" x14ac:dyDescent="0.25">
      <c r="A5" s="1" t="s">
        <v>7</v>
      </c>
      <c r="B5" s="8">
        <v>150</v>
      </c>
      <c r="C5" s="10">
        <f>B5*2.8/100</f>
        <v>4.2</v>
      </c>
      <c r="D5" s="10">
        <f>B5*3.5/100</f>
        <v>5.25</v>
      </c>
      <c r="E5" s="7">
        <f>B5*4.7/100</f>
        <v>7.05</v>
      </c>
      <c r="F5" s="10">
        <f>B5*61/100</f>
        <v>91.5</v>
      </c>
      <c r="G5" s="5"/>
      <c r="H5" s="5"/>
      <c r="I5" s="1"/>
    </row>
    <row r="6" spans="1:9" x14ac:dyDescent="0.25">
      <c r="A6" s="1" t="s">
        <v>8</v>
      </c>
      <c r="B6" s="8">
        <v>2</v>
      </c>
      <c r="C6" s="10">
        <f>B6*0.7/100</f>
        <v>1.3999999999999999E-2</v>
      </c>
      <c r="D6" s="10">
        <f t="shared" ref="D6:D16" si="0">B6*72.5/100</f>
        <v>1.45</v>
      </c>
      <c r="E6" s="7">
        <f>B6*1/100</f>
        <v>0.02</v>
      </c>
      <c r="F6" s="10">
        <f>B6*709/100</f>
        <v>14.18</v>
      </c>
      <c r="G6" s="5"/>
      <c r="H6" s="5"/>
      <c r="I6" s="1"/>
    </row>
    <row r="7" spans="1:9" x14ac:dyDescent="0.25">
      <c r="A7" s="1" t="s">
        <v>9</v>
      </c>
      <c r="B7" s="8">
        <v>5</v>
      </c>
      <c r="C7" s="10">
        <f>B7*0/100</f>
        <v>0</v>
      </c>
      <c r="D7" s="10">
        <f>B7*0/100</f>
        <v>0</v>
      </c>
      <c r="E7" s="7">
        <f>B7*99.8/100</f>
        <v>4.99</v>
      </c>
      <c r="F7" s="10">
        <f>B7*379/10</f>
        <v>189.5</v>
      </c>
      <c r="G7" s="5"/>
      <c r="H7" s="5"/>
      <c r="I7" s="1"/>
    </row>
    <row r="8" spans="1:9" x14ac:dyDescent="0.25">
      <c r="A8" s="2" t="s">
        <v>74</v>
      </c>
      <c r="B8" s="5"/>
      <c r="C8" s="5">
        <f>C4+C5+C6</f>
        <v>6.8890000000000002</v>
      </c>
      <c r="D8" s="5">
        <f>D4+D5+D6</f>
        <v>7.0250000000000004</v>
      </c>
      <c r="E8" s="5">
        <f>E4+E5+E6+E7</f>
        <v>29.160000000000004</v>
      </c>
      <c r="F8" s="5">
        <f>F4+F5+F6+F7</f>
        <v>378.93</v>
      </c>
      <c r="G8" s="5">
        <v>180</v>
      </c>
      <c r="H8" s="5"/>
      <c r="I8" s="1" t="s">
        <v>256</v>
      </c>
    </row>
    <row r="9" spans="1:9" x14ac:dyDescent="0.25">
      <c r="A9" s="2" t="s">
        <v>158</v>
      </c>
      <c r="B9" s="7"/>
      <c r="C9" s="10"/>
      <c r="D9" s="10"/>
      <c r="E9" s="7"/>
      <c r="F9" s="10"/>
      <c r="G9" s="5"/>
      <c r="H9" s="5"/>
      <c r="I9" s="1"/>
    </row>
    <row r="10" spans="1:9" x14ac:dyDescent="0.25">
      <c r="A10" s="1" t="s">
        <v>11</v>
      </c>
      <c r="B10" s="7">
        <v>0.6</v>
      </c>
      <c r="C10" s="10">
        <f>B10*0/100</f>
        <v>0</v>
      </c>
      <c r="D10" s="10">
        <f>B10*0/100</f>
        <v>0</v>
      </c>
      <c r="E10" s="7">
        <f>B10*0/100</f>
        <v>0</v>
      </c>
      <c r="F10" s="10">
        <f>B10*0/100</f>
        <v>0</v>
      </c>
      <c r="G10" s="5"/>
      <c r="H10" s="5"/>
      <c r="I10" s="1"/>
    </row>
    <row r="11" spans="1:9" x14ac:dyDescent="0.25">
      <c r="A11" s="1" t="s">
        <v>7</v>
      </c>
      <c r="B11" s="8">
        <v>130</v>
      </c>
      <c r="C11" s="10">
        <f>B11*2.8/100</f>
        <v>3.64</v>
      </c>
      <c r="D11" s="10">
        <f>B11*3.5/100</f>
        <v>4.55</v>
      </c>
      <c r="E11" s="7">
        <f>B11*4.7/100</f>
        <v>6.11</v>
      </c>
      <c r="F11" s="10">
        <f>B11*61/100</f>
        <v>79.3</v>
      </c>
      <c r="G11" s="5"/>
      <c r="H11" s="5"/>
      <c r="I11" s="1"/>
    </row>
    <row r="12" spans="1:9" x14ac:dyDescent="0.25">
      <c r="A12" s="1" t="s">
        <v>9</v>
      </c>
      <c r="B12" s="8">
        <v>5</v>
      </c>
      <c r="C12" s="10">
        <f>B12*0/100</f>
        <v>0</v>
      </c>
      <c r="D12" s="10">
        <f>B12*0/100</f>
        <v>0</v>
      </c>
      <c r="E12" s="7">
        <f>B12*99.8/100</f>
        <v>4.99</v>
      </c>
      <c r="F12" s="10">
        <f>B12*379/100</f>
        <v>18.95</v>
      </c>
      <c r="G12" s="5"/>
      <c r="H12" s="5"/>
      <c r="I12" s="1"/>
    </row>
    <row r="13" spans="1:9" x14ac:dyDescent="0.25">
      <c r="A13" s="2" t="s">
        <v>14</v>
      </c>
      <c r="B13" s="5"/>
      <c r="C13" s="5">
        <f>C11+C12</f>
        <v>3.64</v>
      </c>
      <c r="D13" s="5">
        <f>D11+D12</f>
        <v>4.55</v>
      </c>
      <c r="E13" s="5">
        <f>E11+E12</f>
        <v>11.100000000000001</v>
      </c>
      <c r="F13" s="5">
        <f>F11+F12</f>
        <v>98.25</v>
      </c>
      <c r="G13" s="5">
        <v>180</v>
      </c>
      <c r="H13" s="5"/>
      <c r="I13" s="1" t="s">
        <v>257</v>
      </c>
    </row>
    <row r="14" spans="1:9" x14ac:dyDescent="0.25">
      <c r="A14" s="2" t="s">
        <v>13</v>
      </c>
      <c r="B14" s="7">
        <v>15</v>
      </c>
      <c r="C14" s="10">
        <f>B14*23/100</f>
        <v>3.45</v>
      </c>
      <c r="D14" s="10">
        <f>B14*29/100</f>
        <v>4.3499999999999996</v>
      </c>
      <c r="E14" s="7">
        <f>B14*0/100</f>
        <v>0</v>
      </c>
      <c r="F14" s="10">
        <f>B14*360/100</f>
        <v>54</v>
      </c>
      <c r="G14" s="5">
        <v>15</v>
      </c>
      <c r="H14" s="5"/>
      <c r="I14" s="1" t="s">
        <v>200</v>
      </c>
    </row>
    <row r="15" spans="1:9" x14ac:dyDescent="0.25">
      <c r="A15" s="1" t="s">
        <v>12</v>
      </c>
      <c r="B15" s="8">
        <v>60</v>
      </c>
      <c r="C15" s="10">
        <f>B15*7.7/100</f>
        <v>4.62</v>
      </c>
      <c r="D15" s="10">
        <f>B15*3/100</f>
        <v>1.8</v>
      </c>
      <c r="E15" s="7">
        <f>B15*49.8/100</f>
        <v>29.88</v>
      </c>
      <c r="F15" s="10">
        <f>B15*262/100</f>
        <v>157.19999999999999</v>
      </c>
      <c r="G15" s="5">
        <v>60</v>
      </c>
      <c r="H15" s="5"/>
      <c r="I15" s="1"/>
    </row>
    <row r="16" spans="1:9" x14ac:dyDescent="0.25">
      <c r="A16" s="1" t="s">
        <v>8</v>
      </c>
      <c r="B16" s="8">
        <v>10</v>
      </c>
      <c r="C16" s="10">
        <f>B16*0.7/100</f>
        <v>7.0000000000000007E-2</v>
      </c>
      <c r="D16" s="10">
        <f t="shared" si="0"/>
        <v>7.25</v>
      </c>
      <c r="E16" s="7">
        <f>B16*1/100</f>
        <v>0.1</v>
      </c>
      <c r="F16" s="10">
        <f>B16*709/100</f>
        <v>70.900000000000006</v>
      </c>
      <c r="G16" s="5">
        <v>10</v>
      </c>
      <c r="H16" s="5"/>
      <c r="I16" s="1"/>
    </row>
    <row r="17" spans="1:9" x14ac:dyDescent="0.25">
      <c r="A17" s="2" t="s">
        <v>118</v>
      </c>
      <c r="B17" s="5"/>
      <c r="C17" s="5">
        <f>C8+C13+C14+C15+C16</f>
        <v>18.669</v>
      </c>
      <c r="D17" s="5">
        <f>D8+D13+D14+D15+D16</f>
        <v>24.974999999999998</v>
      </c>
      <c r="E17" s="5">
        <f>E8+E13+E15+E16</f>
        <v>70.239999999999995</v>
      </c>
      <c r="F17" s="5">
        <f>F8+F13+F14+F15+F16</f>
        <v>759.28000000000009</v>
      </c>
      <c r="G17" s="5">
        <v>445</v>
      </c>
      <c r="H17" s="5"/>
      <c r="I17" s="1"/>
    </row>
    <row r="18" spans="1:9" x14ac:dyDescent="0.25">
      <c r="A18" s="2"/>
      <c r="B18" s="5"/>
      <c r="C18" s="5"/>
      <c r="D18" s="5"/>
      <c r="E18" s="5"/>
      <c r="F18" s="5"/>
      <c r="G18" s="7"/>
      <c r="H18" s="7"/>
      <c r="I18" s="1"/>
    </row>
    <row r="19" spans="1:9" x14ac:dyDescent="0.25">
      <c r="A19" s="2" t="s">
        <v>183</v>
      </c>
      <c r="B19" s="5">
        <v>150</v>
      </c>
      <c r="C19" s="5">
        <f>B19*0.5/100</f>
        <v>0.75</v>
      </c>
      <c r="D19" s="5">
        <f>B19*0/100</f>
        <v>0</v>
      </c>
      <c r="E19" s="5">
        <f>B19*9.1/100</f>
        <v>13.65</v>
      </c>
      <c r="F19" s="5">
        <f>B19*38/100</f>
        <v>57</v>
      </c>
      <c r="G19" s="5">
        <v>150</v>
      </c>
      <c r="H19" s="5"/>
      <c r="I19" s="1" t="s">
        <v>210</v>
      </c>
    </row>
    <row r="20" spans="1:9" x14ac:dyDescent="0.25">
      <c r="A20" s="1"/>
      <c r="B20" s="7"/>
      <c r="C20" s="10"/>
      <c r="D20" s="10"/>
      <c r="E20" s="7"/>
      <c r="F20" s="10"/>
      <c r="G20" s="7"/>
      <c r="H20" s="7"/>
      <c r="I20" s="1"/>
    </row>
    <row r="21" spans="1:9" x14ac:dyDescent="0.25">
      <c r="A21" s="2" t="s">
        <v>102</v>
      </c>
      <c r="B21" s="7"/>
      <c r="C21" s="10"/>
      <c r="D21" s="10"/>
      <c r="E21" s="7"/>
      <c r="F21" s="10"/>
      <c r="G21" s="7"/>
      <c r="H21" s="7"/>
      <c r="I21" s="1"/>
    </row>
    <row r="22" spans="1:9" x14ac:dyDescent="0.25">
      <c r="A22" s="2" t="s">
        <v>349</v>
      </c>
      <c r="B22" s="7"/>
      <c r="C22" s="10"/>
      <c r="D22" s="10"/>
      <c r="E22" s="7"/>
      <c r="F22" s="10"/>
      <c r="G22" s="7"/>
      <c r="H22" s="7"/>
      <c r="I22" s="1"/>
    </row>
    <row r="23" spans="1:9" x14ac:dyDescent="0.25">
      <c r="A23" s="1" t="s">
        <v>41</v>
      </c>
      <c r="B23" s="8">
        <v>30</v>
      </c>
      <c r="C23" s="10">
        <f>B23*18.6/100</f>
        <v>5.58</v>
      </c>
      <c r="D23" s="10">
        <f>B23*16/100</f>
        <v>4.8</v>
      </c>
      <c r="E23" s="7">
        <f>B23*0/100</f>
        <v>0</v>
      </c>
      <c r="F23" s="10">
        <f>B23*218/100</f>
        <v>65.400000000000006</v>
      </c>
      <c r="G23" s="7"/>
      <c r="H23" s="7"/>
      <c r="I23" s="1"/>
    </row>
    <row r="24" spans="1:9" x14ac:dyDescent="0.25">
      <c r="A24" s="1" t="s">
        <v>15</v>
      </c>
      <c r="B24" s="8">
        <v>40</v>
      </c>
      <c r="C24" s="10">
        <f>B24*2/100</f>
        <v>0.8</v>
      </c>
      <c r="D24" s="10">
        <f>B24*0.4/100</f>
        <v>0.16</v>
      </c>
      <c r="E24" s="7">
        <f>B24*17.3/100</f>
        <v>6.92</v>
      </c>
      <c r="F24" s="10">
        <f>B24*80/100</f>
        <v>32</v>
      </c>
      <c r="G24" s="7"/>
      <c r="H24" s="7"/>
      <c r="I24" s="1"/>
    </row>
    <row r="25" spans="1:9" x14ac:dyDescent="0.25">
      <c r="A25" s="1" t="s">
        <v>148</v>
      </c>
      <c r="B25" s="8">
        <v>15</v>
      </c>
      <c r="C25" s="10">
        <f>B25*23/100</f>
        <v>3.45</v>
      </c>
      <c r="D25" s="10">
        <f>B25*1.6/100</f>
        <v>0.24</v>
      </c>
      <c r="E25" s="7">
        <f>B25*53.3/100</f>
        <v>7.9950000000000001</v>
      </c>
      <c r="F25" s="10">
        <f>B25*323/100</f>
        <v>48.45</v>
      </c>
      <c r="G25" s="7"/>
      <c r="H25" s="7"/>
      <c r="I25" s="1"/>
    </row>
    <row r="26" spans="1:9" x14ac:dyDescent="0.25">
      <c r="A26" s="1" t="s">
        <v>20</v>
      </c>
      <c r="B26" s="8">
        <v>13</v>
      </c>
      <c r="C26" s="10">
        <f>B26*1.4/100</f>
        <v>0.182</v>
      </c>
      <c r="D26" s="10">
        <f>B26*0/100</f>
        <v>0</v>
      </c>
      <c r="E26" s="7">
        <f>B26*9.1/100</f>
        <v>1.1830000000000001</v>
      </c>
      <c r="F26" s="10">
        <f>B26*41/100</f>
        <v>5.33</v>
      </c>
      <c r="G26" s="7"/>
      <c r="H26" s="7"/>
      <c r="I26" s="1"/>
    </row>
    <row r="27" spans="1:9" x14ac:dyDescent="0.25">
      <c r="A27" s="1" t="s">
        <v>16</v>
      </c>
      <c r="B27" s="8">
        <v>13</v>
      </c>
      <c r="C27" s="10">
        <f>B27*1.3/100</f>
        <v>0.16900000000000001</v>
      </c>
      <c r="D27" s="10">
        <f>B27*0.1/100</f>
        <v>1.3000000000000001E-2</v>
      </c>
      <c r="E27" s="7">
        <f>B27*8.4/100</f>
        <v>1.0920000000000001</v>
      </c>
      <c r="F27" s="10">
        <f>B27*34/100</f>
        <v>4.42</v>
      </c>
      <c r="G27" s="7"/>
      <c r="H27" s="7"/>
      <c r="I27" s="1"/>
    </row>
    <row r="28" spans="1:9" x14ac:dyDescent="0.25">
      <c r="A28" s="1"/>
      <c r="B28" s="8"/>
      <c r="C28" s="10">
        <f>B28*4.8/100</f>
        <v>0</v>
      </c>
      <c r="D28" s="10">
        <f>B28*0/100</f>
        <v>0</v>
      </c>
      <c r="E28" s="7">
        <f>B28*19/100</f>
        <v>0</v>
      </c>
      <c r="F28" s="10">
        <f>B28*99/100</f>
        <v>0</v>
      </c>
      <c r="G28" s="7"/>
      <c r="H28" s="7"/>
      <c r="I28" s="1"/>
    </row>
    <row r="29" spans="1:9" x14ac:dyDescent="0.25">
      <c r="A29" s="1" t="s">
        <v>8</v>
      </c>
      <c r="B29" s="7">
        <v>2</v>
      </c>
      <c r="C29" s="10">
        <f>B29*0.7/100</f>
        <v>1.3999999999999999E-2</v>
      </c>
      <c r="D29" s="10">
        <f t="shared" ref="D29:D47" si="1">B29*72.5/100</f>
        <v>1.45</v>
      </c>
      <c r="E29" s="7">
        <f>B29*1/100</f>
        <v>0.02</v>
      </c>
      <c r="F29" s="10">
        <f>B29*709/100</f>
        <v>14.18</v>
      </c>
      <c r="G29" s="7"/>
      <c r="H29" s="7"/>
      <c r="I29" s="1"/>
    </row>
    <row r="30" spans="1:9" x14ac:dyDescent="0.25">
      <c r="A30" s="2" t="s">
        <v>14</v>
      </c>
      <c r="B30" s="5"/>
      <c r="C30" s="5">
        <f>C23+C24+C25+C26+C27+C28+C29</f>
        <v>10.195</v>
      </c>
      <c r="D30" s="5">
        <f>D23+D24+D25+D26+D27+D28+D29</f>
        <v>6.6630000000000003</v>
      </c>
      <c r="E30" s="5">
        <f>E23+E24+E25+E26+E27+E28+E29</f>
        <v>17.209999999999997</v>
      </c>
      <c r="F30" s="5">
        <f>F23+F24+F25+F26+F27+F28+F29</f>
        <v>169.78000000000003</v>
      </c>
      <c r="G30" s="5">
        <v>200</v>
      </c>
      <c r="H30" s="5"/>
      <c r="I30" s="1" t="s">
        <v>252</v>
      </c>
    </row>
    <row r="31" spans="1:9" x14ac:dyDescent="0.25">
      <c r="A31" s="2" t="s">
        <v>162</v>
      </c>
      <c r="B31" s="7"/>
      <c r="C31" s="10"/>
      <c r="D31" s="10"/>
      <c r="E31" s="7"/>
      <c r="F31" s="10"/>
      <c r="G31" s="7"/>
      <c r="H31" s="7"/>
      <c r="I31" s="1"/>
    </row>
    <row r="32" spans="1:9" x14ac:dyDescent="0.25">
      <c r="A32" s="1" t="s">
        <v>41</v>
      </c>
      <c r="B32" s="8">
        <v>60</v>
      </c>
      <c r="C32" s="10">
        <f>B32*18.6/100</f>
        <v>11.16</v>
      </c>
      <c r="D32" s="10">
        <f>B32*16/100</f>
        <v>9.6</v>
      </c>
      <c r="E32" s="7">
        <f>B32*0/100</f>
        <v>0</v>
      </c>
      <c r="F32" s="10">
        <f>B33*41/100</f>
        <v>5.33</v>
      </c>
      <c r="G32" s="7"/>
      <c r="H32" s="7"/>
      <c r="I32" s="1"/>
    </row>
    <row r="33" spans="1:9" x14ac:dyDescent="0.25">
      <c r="A33" s="1" t="s">
        <v>20</v>
      </c>
      <c r="B33" s="8">
        <v>13</v>
      </c>
      <c r="C33" s="10">
        <f>B33*1.4/100</f>
        <v>0.182</v>
      </c>
      <c r="D33" s="10">
        <f>B33*0/100</f>
        <v>0</v>
      </c>
      <c r="E33" s="7">
        <f>B33*9.1/100</f>
        <v>1.1830000000000001</v>
      </c>
      <c r="F33" s="12">
        <f>B33/41</f>
        <v>0.31707317073170732</v>
      </c>
      <c r="G33" s="7"/>
      <c r="H33" s="7"/>
      <c r="I33" s="1"/>
    </row>
    <row r="34" spans="1:9" x14ac:dyDescent="0.25">
      <c r="A34" s="1" t="s">
        <v>16</v>
      </c>
      <c r="B34" s="11">
        <v>13</v>
      </c>
      <c r="C34" s="10">
        <f>B34*1.3/100</f>
        <v>0.16900000000000001</v>
      </c>
      <c r="D34" s="10">
        <f>B34*0.1/100</f>
        <v>1.3000000000000001E-2</v>
      </c>
      <c r="E34" s="7">
        <f>B34*8.4/100</f>
        <v>1.0920000000000001</v>
      </c>
      <c r="F34" s="10">
        <f>B34*34/100</f>
        <v>4.42</v>
      </c>
      <c r="G34" s="7"/>
      <c r="H34" s="7"/>
      <c r="I34" s="1"/>
    </row>
    <row r="35" spans="1:9" x14ac:dyDescent="0.25">
      <c r="A35" s="1" t="s">
        <v>28</v>
      </c>
      <c r="B35" s="8">
        <v>6</v>
      </c>
      <c r="C35" s="10">
        <f>B35*4.8/100</f>
        <v>0.28799999999999998</v>
      </c>
      <c r="D35" s="10">
        <f>B35*0/100</f>
        <v>0</v>
      </c>
      <c r="E35" s="7">
        <f>B35*19/100</f>
        <v>1.1399999999999999</v>
      </c>
      <c r="F35" s="10">
        <f>B35*99/100</f>
        <v>5.94</v>
      </c>
      <c r="G35" s="7"/>
      <c r="H35" s="7"/>
      <c r="I35" s="1"/>
    </row>
    <row r="36" spans="1:9" x14ac:dyDescent="0.25">
      <c r="A36" s="1" t="s">
        <v>123</v>
      </c>
      <c r="B36" s="8">
        <v>5</v>
      </c>
      <c r="C36" s="10">
        <f>B36*10.3/100</f>
        <v>0.51500000000000001</v>
      </c>
      <c r="D36" s="10">
        <f>B36*1.3/100</f>
        <v>6.5000000000000002E-2</v>
      </c>
      <c r="E36" s="7">
        <f>B36*67.7/100</f>
        <v>3.3849999999999998</v>
      </c>
      <c r="F36" s="10">
        <f>B36*331/100</f>
        <v>16.55</v>
      </c>
      <c r="G36" s="7"/>
      <c r="H36" s="7"/>
      <c r="I36" s="1"/>
    </row>
    <row r="37" spans="1:9" x14ac:dyDescent="0.25">
      <c r="A37" s="1" t="s">
        <v>8</v>
      </c>
      <c r="B37" s="8">
        <v>2</v>
      </c>
      <c r="C37" s="10">
        <f>B37*0.7/100</f>
        <v>1.3999999999999999E-2</v>
      </c>
      <c r="D37" s="10">
        <f t="shared" si="1"/>
        <v>1.45</v>
      </c>
      <c r="E37" s="7">
        <f>B37*1/100</f>
        <v>0.02</v>
      </c>
      <c r="F37" s="10">
        <f>B37*709/100</f>
        <v>14.18</v>
      </c>
      <c r="G37" s="7"/>
      <c r="H37" s="7"/>
      <c r="I37" s="1"/>
    </row>
    <row r="38" spans="1:9" x14ac:dyDescent="0.25">
      <c r="A38" s="2" t="s">
        <v>14</v>
      </c>
      <c r="B38" s="5"/>
      <c r="C38" s="5">
        <f>C32+C33+C34+C35+C36+C37</f>
        <v>12.328000000000001</v>
      </c>
      <c r="D38" s="5">
        <f>D32+D33+D34+D35+D36+D37</f>
        <v>11.127999999999998</v>
      </c>
      <c r="E38" s="5">
        <f>E32+E33+E34+E35+E36+E37</f>
        <v>6.8199999999999994</v>
      </c>
      <c r="F38" s="13">
        <f>F32+F33+F34+F35+F36+F37</f>
        <v>46.737073170731712</v>
      </c>
      <c r="G38" s="5" t="s">
        <v>342</v>
      </c>
      <c r="H38" s="5"/>
      <c r="I38" s="1" t="s">
        <v>260</v>
      </c>
    </row>
    <row r="39" spans="1:9" x14ac:dyDescent="0.25">
      <c r="A39" s="2" t="s">
        <v>71</v>
      </c>
      <c r="B39" s="7"/>
      <c r="C39" s="10"/>
      <c r="D39" s="10"/>
      <c r="E39" s="7"/>
      <c r="F39" s="10"/>
      <c r="G39" s="5"/>
      <c r="H39" s="5"/>
      <c r="I39" s="1"/>
    </row>
    <row r="40" spans="1:9" x14ac:dyDescent="0.25">
      <c r="A40" s="1" t="s">
        <v>15</v>
      </c>
      <c r="B40" s="7">
        <v>100</v>
      </c>
      <c r="C40" s="10">
        <f>B40*2/100</f>
        <v>2</v>
      </c>
      <c r="D40" s="10">
        <f>B40*0.4/100</f>
        <v>0.4</v>
      </c>
      <c r="E40" s="7">
        <f>B40*17.3/100</f>
        <v>17.3</v>
      </c>
      <c r="F40" s="10">
        <f>B40*80/100</f>
        <v>80</v>
      </c>
      <c r="G40" s="5"/>
      <c r="H40" s="5"/>
      <c r="I40" s="1"/>
    </row>
    <row r="41" spans="1:9" x14ac:dyDescent="0.25">
      <c r="A41" s="1" t="s">
        <v>7</v>
      </c>
      <c r="B41" s="8">
        <v>40</v>
      </c>
      <c r="C41" s="10">
        <f>B41*2.8/100</f>
        <v>1.1200000000000001</v>
      </c>
      <c r="D41" s="10">
        <f>B41*3.5/100</f>
        <v>1.4</v>
      </c>
      <c r="E41" s="7">
        <f>B41*4.7/100</f>
        <v>1.88</v>
      </c>
      <c r="F41" s="10">
        <f>B41*61/100</f>
        <v>24.4</v>
      </c>
      <c r="G41" s="5"/>
      <c r="H41" s="5"/>
      <c r="I41" s="1"/>
    </row>
    <row r="42" spans="1:9" x14ac:dyDescent="0.25">
      <c r="A42" s="1" t="s">
        <v>8</v>
      </c>
      <c r="B42" s="8">
        <v>2</v>
      </c>
      <c r="C42" s="10">
        <f>B42*0.7/100</f>
        <v>1.3999999999999999E-2</v>
      </c>
      <c r="D42" s="10">
        <f t="shared" si="1"/>
        <v>1.45</v>
      </c>
      <c r="E42" s="7">
        <f>B42*1/100</f>
        <v>0.02</v>
      </c>
      <c r="F42" s="10">
        <f>B42*709/100</f>
        <v>14.18</v>
      </c>
      <c r="G42" s="5"/>
      <c r="H42" s="5"/>
      <c r="I42" s="1"/>
    </row>
    <row r="43" spans="1:9" x14ac:dyDescent="0.25">
      <c r="A43" s="2" t="s">
        <v>74</v>
      </c>
      <c r="B43" s="5"/>
      <c r="C43" s="5">
        <f>C40+C41+C42</f>
        <v>3.1339999999999999</v>
      </c>
      <c r="D43" s="5">
        <f>D40+D41+D42</f>
        <v>3.25</v>
      </c>
      <c r="E43" s="5">
        <f>E40+E41+E42</f>
        <v>19.2</v>
      </c>
      <c r="F43" s="5">
        <f>F40+F41+F42</f>
        <v>118.58000000000001</v>
      </c>
      <c r="G43" s="5">
        <v>135</v>
      </c>
      <c r="H43" s="5"/>
      <c r="I43" s="1" t="s">
        <v>221</v>
      </c>
    </row>
    <row r="44" spans="1:9" x14ac:dyDescent="0.25">
      <c r="A44" s="2" t="s">
        <v>222</v>
      </c>
      <c r="B44" s="7"/>
      <c r="C44" s="10"/>
      <c r="D44" s="10"/>
      <c r="E44" s="7"/>
      <c r="F44" s="10"/>
      <c r="G44" s="5"/>
      <c r="H44" s="5"/>
      <c r="I44" s="1"/>
    </row>
    <row r="45" spans="1:9" x14ac:dyDescent="0.25">
      <c r="A45" s="1" t="s">
        <v>350</v>
      </c>
      <c r="B45" s="7">
        <v>10</v>
      </c>
      <c r="C45" s="10">
        <f>B45*3.4/100</f>
        <v>0.34</v>
      </c>
      <c r="D45" s="10">
        <f>B45*0/100</f>
        <v>0</v>
      </c>
      <c r="E45" s="7">
        <f>B45*99.8/100</f>
        <v>9.98</v>
      </c>
      <c r="F45" s="10">
        <f>B45*110/100</f>
        <v>11</v>
      </c>
      <c r="G45" s="5"/>
      <c r="H45" s="5"/>
      <c r="I45" s="1"/>
    </row>
    <row r="46" spans="1:9" x14ac:dyDescent="0.25">
      <c r="A46" s="1" t="s">
        <v>9</v>
      </c>
      <c r="B46" s="7">
        <v>7</v>
      </c>
      <c r="C46" s="10">
        <f>B46*0/100</f>
        <v>0</v>
      </c>
      <c r="D46" s="10">
        <f>B46*0/100</f>
        <v>0</v>
      </c>
      <c r="E46" s="7">
        <f>B46*99.8/100</f>
        <v>6.9860000000000007</v>
      </c>
      <c r="F46" s="10">
        <f>B46*379/100</f>
        <v>26.53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0.34</v>
      </c>
      <c r="D47" s="5">
        <f t="shared" si="1"/>
        <v>0</v>
      </c>
      <c r="E47" s="5">
        <f>E45+E46</f>
        <v>16.966000000000001</v>
      </c>
      <c r="F47" s="5">
        <f>F45+F46</f>
        <v>37.53</v>
      </c>
      <c r="G47" s="5">
        <v>180</v>
      </c>
      <c r="H47" s="5"/>
      <c r="I47" s="1" t="s">
        <v>223</v>
      </c>
    </row>
    <row r="48" spans="1:9" x14ac:dyDescent="0.25">
      <c r="A48" s="2" t="s">
        <v>163</v>
      </c>
      <c r="B48" s="5">
        <v>60</v>
      </c>
      <c r="C48" s="5">
        <f>B48*0.8/100</f>
        <v>0.48</v>
      </c>
      <c r="D48" s="5">
        <f>B48*0.1/100</f>
        <v>0.06</v>
      </c>
      <c r="E48" s="5">
        <f>B48*3.4/100</f>
        <v>2.04</v>
      </c>
      <c r="F48" s="5">
        <f>B48*14/100</f>
        <v>8.4</v>
      </c>
      <c r="G48" s="5">
        <v>60</v>
      </c>
      <c r="H48" s="5"/>
      <c r="I48" s="1" t="s">
        <v>261</v>
      </c>
    </row>
    <row r="49" spans="1:9" x14ac:dyDescent="0.25">
      <c r="A49" s="1" t="s">
        <v>32</v>
      </c>
      <c r="B49" s="5">
        <v>37</v>
      </c>
      <c r="C49" s="5">
        <f>B49*6.6/100</f>
        <v>2.4419999999999997</v>
      </c>
      <c r="D49" s="5">
        <f>B49*1.2/100</f>
        <v>0.44400000000000001</v>
      </c>
      <c r="E49" s="5">
        <f>B49*34.2/100</f>
        <v>12.654000000000002</v>
      </c>
      <c r="F49" s="5">
        <f>B49*181/100</f>
        <v>66.97</v>
      </c>
      <c r="G49" s="5">
        <v>37</v>
      </c>
      <c r="H49" s="5"/>
      <c r="I49" s="1"/>
    </row>
    <row r="50" spans="1:9" x14ac:dyDescent="0.25">
      <c r="A50" s="2" t="s">
        <v>76</v>
      </c>
      <c r="B50" s="5"/>
      <c r="C50" s="5">
        <f>C30+C38+C43+C47+C48+C49</f>
        <v>28.919000000000004</v>
      </c>
      <c r="D50" s="5">
        <f>D30+D38+D43+D48+D49</f>
        <v>21.544999999999995</v>
      </c>
      <c r="E50" s="5">
        <f>E30+E38+E43+E47+E48+E49</f>
        <v>74.89</v>
      </c>
      <c r="F50" s="21">
        <f>F30+F38+F43+F47+F48+F49</f>
        <v>447.99707317073171</v>
      </c>
      <c r="G50" s="5">
        <v>722</v>
      </c>
      <c r="H50" s="5"/>
      <c r="I50" s="1"/>
    </row>
    <row r="51" spans="1:9" x14ac:dyDescent="0.25">
      <c r="A51" s="1" t="s">
        <v>196</v>
      </c>
      <c r="B51" s="7">
        <v>3.75</v>
      </c>
      <c r="C51" s="10"/>
      <c r="D51" s="10"/>
      <c r="E51" s="7"/>
      <c r="F51" s="10"/>
      <c r="G51" s="7"/>
      <c r="H51" s="7"/>
      <c r="I51" s="1"/>
    </row>
    <row r="52" spans="1:9" ht="15.75" x14ac:dyDescent="0.25">
      <c r="A52" s="22" t="s">
        <v>277</v>
      </c>
      <c r="B52" s="16"/>
      <c r="C52" s="16"/>
      <c r="D52" s="16"/>
      <c r="E52" s="16"/>
      <c r="F52" s="19"/>
      <c r="G52" s="7"/>
      <c r="H52" s="7"/>
      <c r="I52" s="1"/>
    </row>
    <row r="53" spans="1:9" ht="15.75" x14ac:dyDescent="0.25">
      <c r="A53" s="22" t="s">
        <v>319</v>
      </c>
      <c r="B53" s="16"/>
      <c r="C53" s="16"/>
      <c r="D53" s="16"/>
      <c r="E53" s="16"/>
      <c r="F53" s="19"/>
      <c r="G53" s="7"/>
      <c r="H53" s="7"/>
      <c r="I53" s="1"/>
    </row>
    <row r="54" spans="1:9" x14ac:dyDescent="0.25">
      <c r="A54" s="1" t="s">
        <v>116</v>
      </c>
      <c r="B54" s="8">
        <v>1.5</v>
      </c>
      <c r="C54" s="10">
        <f>B54*24.2/100</f>
        <v>0.36299999999999999</v>
      </c>
      <c r="D54" s="10">
        <f>B54*17.5/100</f>
        <v>0.26250000000000001</v>
      </c>
      <c r="E54" s="10">
        <f>B54*27.9/100</f>
        <v>0.41849999999999993</v>
      </c>
      <c r="F54" s="10">
        <f>B54*373/100</f>
        <v>5.5949999999999998</v>
      </c>
      <c r="G54" s="5"/>
      <c r="H54" s="5"/>
      <c r="I54" s="1"/>
    </row>
    <row r="55" spans="1:9" x14ac:dyDescent="0.25">
      <c r="A55" s="1" t="s">
        <v>99</v>
      </c>
      <c r="B55" s="8">
        <v>130</v>
      </c>
      <c r="C55" s="10">
        <f>B55*2.8/100</f>
        <v>3.64</v>
      </c>
      <c r="D55" s="10">
        <f>B55*3.5/100</f>
        <v>4.55</v>
      </c>
      <c r="E55" s="10">
        <f>B55*4.7/100</f>
        <v>6.11</v>
      </c>
      <c r="F55" s="10">
        <f>B55*61/100</f>
        <v>79.3</v>
      </c>
      <c r="G55" s="5"/>
      <c r="H55" s="5"/>
      <c r="I55" s="1"/>
    </row>
    <row r="56" spans="1:9" x14ac:dyDescent="0.25">
      <c r="A56" s="1" t="s">
        <v>9</v>
      </c>
      <c r="B56" s="8">
        <v>6</v>
      </c>
      <c r="C56" s="10">
        <f>B56*0/100</f>
        <v>0</v>
      </c>
      <c r="D56" s="10">
        <f>B56*0/100</f>
        <v>0</v>
      </c>
      <c r="E56" s="10">
        <f>B56*99.8/100</f>
        <v>5.9879999999999995</v>
      </c>
      <c r="F56" s="10">
        <f t="shared" ref="F56" si="2">B56*379/100</f>
        <v>22.74</v>
      </c>
      <c r="G56" s="5"/>
      <c r="H56" s="5"/>
      <c r="I56" s="1"/>
    </row>
    <row r="57" spans="1:9" x14ac:dyDescent="0.25">
      <c r="A57" s="2" t="s">
        <v>14</v>
      </c>
      <c r="B57" s="5"/>
      <c r="C57" s="5">
        <f>C54+C55+C56</f>
        <v>4.0030000000000001</v>
      </c>
      <c r="D57" s="5">
        <f>D54+D55+D56</f>
        <v>4.8125</v>
      </c>
      <c r="E57" s="5">
        <f>E54+E55+E56</f>
        <v>12.516500000000001</v>
      </c>
      <c r="F57" s="5">
        <f>F54+F55+F56</f>
        <v>107.63499999999999</v>
      </c>
      <c r="G57" s="5">
        <v>180</v>
      </c>
      <c r="H57" s="5"/>
      <c r="I57" s="1" t="s">
        <v>217</v>
      </c>
    </row>
    <row r="58" spans="1:9" x14ac:dyDescent="0.25">
      <c r="A58" s="2" t="s">
        <v>331</v>
      </c>
      <c r="B58" s="16"/>
      <c r="C58" s="16"/>
      <c r="D58" s="16"/>
      <c r="E58" s="16"/>
      <c r="F58" s="17"/>
      <c r="G58" s="5"/>
      <c r="H58" s="5"/>
      <c r="I58" s="1"/>
    </row>
    <row r="59" spans="1:9" x14ac:dyDescent="0.25">
      <c r="A59" s="3" t="s">
        <v>17</v>
      </c>
      <c r="B59" s="8">
        <v>30</v>
      </c>
      <c r="C59" s="10">
        <f>B59*10.4/100</f>
        <v>3.12</v>
      </c>
      <c r="D59" s="10">
        <f>B59*1.1/100</f>
        <v>0.33</v>
      </c>
      <c r="E59" s="10">
        <f>B59*69.7/100</f>
        <v>20.91</v>
      </c>
      <c r="F59" s="10">
        <f>B59*337/100</f>
        <v>101.1</v>
      </c>
      <c r="G59" s="7"/>
      <c r="H59" s="7"/>
      <c r="I59" s="1"/>
    </row>
    <row r="60" spans="1:9" x14ac:dyDescent="0.25">
      <c r="A60" s="3" t="s">
        <v>7</v>
      </c>
      <c r="B60" s="7">
        <v>25</v>
      </c>
      <c r="C60" s="7">
        <f>B60*2.8/100</f>
        <v>0.7</v>
      </c>
      <c r="D60" s="7">
        <f>B60*3.5/100</f>
        <v>0.875</v>
      </c>
      <c r="E60" s="7">
        <f>B60*4.7/100</f>
        <v>1.175</v>
      </c>
      <c r="F60" s="7">
        <f>B60*61/100</f>
        <v>15.25</v>
      </c>
      <c r="G60" s="7"/>
      <c r="H60" s="7"/>
      <c r="I60" s="1"/>
    </row>
    <row r="61" spans="1:9" x14ac:dyDescent="0.25">
      <c r="A61" s="3" t="s">
        <v>44</v>
      </c>
      <c r="B61" s="8">
        <v>15</v>
      </c>
      <c r="C61" s="10">
        <f>B61*2.8/100</f>
        <v>0.42</v>
      </c>
      <c r="D61" s="10">
        <f>B61*15/100</f>
        <v>2.25</v>
      </c>
      <c r="E61" s="10">
        <f>B61*3.2/100</f>
        <v>0.48</v>
      </c>
      <c r="F61" s="10">
        <f>B61*206/100</f>
        <v>30.9</v>
      </c>
      <c r="G61" s="7"/>
      <c r="H61" s="7"/>
      <c r="I61" s="1"/>
    </row>
    <row r="62" spans="1:9" x14ac:dyDescent="0.25">
      <c r="A62" s="3" t="s">
        <v>57</v>
      </c>
      <c r="B62" s="7">
        <v>3</v>
      </c>
      <c r="C62" s="7">
        <f>B62*0/100</f>
        <v>0</v>
      </c>
      <c r="D62" s="7">
        <f>B62*99.9/100</f>
        <v>2.9970000000000003</v>
      </c>
      <c r="E62" s="7">
        <f>B62*0/100</f>
        <v>0</v>
      </c>
      <c r="F62" s="7">
        <f>B62*899/100</f>
        <v>26.97</v>
      </c>
      <c r="G62" s="7"/>
      <c r="H62" s="7"/>
      <c r="I62" s="1"/>
    </row>
    <row r="63" spans="1:9" x14ac:dyDescent="0.25">
      <c r="A63" s="3" t="s">
        <v>9</v>
      </c>
      <c r="B63" s="8">
        <v>9</v>
      </c>
      <c r="C63" s="7">
        <f>B63*0/100</f>
        <v>0</v>
      </c>
      <c r="D63" s="7">
        <f>B63*0/100</f>
        <v>0</v>
      </c>
      <c r="E63" s="7">
        <f>B63*99.8/100</f>
        <v>8.9819999999999993</v>
      </c>
      <c r="F63" s="7">
        <f>B63*379/100</f>
        <v>34.11</v>
      </c>
      <c r="G63" s="7"/>
      <c r="H63" s="7"/>
      <c r="I63" s="1"/>
    </row>
    <row r="64" spans="1:9" x14ac:dyDescent="0.25">
      <c r="A64" s="3" t="s">
        <v>21</v>
      </c>
      <c r="B64" s="8">
        <v>17</v>
      </c>
      <c r="C64" s="7">
        <f>B64*12.7/40</f>
        <v>5.3974999999999991</v>
      </c>
      <c r="D64" s="7">
        <f>B64*11.5/40</f>
        <v>4.8875000000000002</v>
      </c>
      <c r="E64" s="7">
        <f>B64*0.7/40</f>
        <v>0.29749999999999999</v>
      </c>
      <c r="F64" s="7">
        <f>B64*157/40</f>
        <v>66.724999999999994</v>
      </c>
      <c r="G64" s="5"/>
      <c r="H64" s="5"/>
      <c r="I64" s="1"/>
    </row>
    <row r="65" spans="1:9" x14ac:dyDescent="0.25">
      <c r="A65" s="2" t="s">
        <v>14</v>
      </c>
      <c r="B65" s="16"/>
      <c r="C65" s="16">
        <f>C59+C60+C61+C62+C63+C64</f>
        <v>9.6374999999999993</v>
      </c>
      <c r="D65" s="16">
        <f>D59+D60+D61+D62+D63+D64</f>
        <v>11.339500000000001</v>
      </c>
      <c r="E65" s="16">
        <f>E59+E60+E61+E62+E63+E64</f>
        <v>31.8445</v>
      </c>
      <c r="F65" s="17">
        <f>F59+F60+F61+F62+F63+F64</f>
        <v>275.05499999999995</v>
      </c>
      <c r="G65" s="5" t="s">
        <v>343</v>
      </c>
      <c r="H65" s="5"/>
      <c r="I65" s="1" t="s">
        <v>320</v>
      </c>
    </row>
    <row r="66" spans="1:9" x14ac:dyDescent="0.25">
      <c r="A66" s="2" t="s">
        <v>283</v>
      </c>
      <c r="B66" s="16"/>
      <c r="C66" s="16">
        <f>C57+C65</f>
        <v>13.640499999999999</v>
      </c>
      <c r="D66" s="16">
        <f>D57+D65</f>
        <v>16.152000000000001</v>
      </c>
      <c r="E66" s="16">
        <f>E57+E65</f>
        <v>44.361000000000004</v>
      </c>
      <c r="F66" s="17">
        <f>F57+F65</f>
        <v>382.68999999999994</v>
      </c>
      <c r="G66" s="5">
        <v>290</v>
      </c>
      <c r="H66" s="10"/>
      <c r="I66" s="3"/>
    </row>
    <row r="67" spans="1:9" x14ac:dyDescent="0.25">
      <c r="A67" s="2" t="s">
        <v>281</v>
      </c>
      <c r="B67" s="16"/>
      <c r="C67" s="16">
        <f>C17+C19+C50+C66</f>
        <v>61.978500000000011</v>
      </c>
      <c r="D67" s="16">
        <f>D17+D19+D50+D66</f>
        <v>62.671999999999997</v>
      </c>
      <c r="E67" s="16">
        <f>E19+E50+E66</f>
        <v>132.90100000000001</v>
      </c>
      <c r="F67" s="17">
        <f>F17+F19+F50+F50+F66</f>
        <v>2094.9641463414637</v>
      </c>
      <c r="G67" s="5"/>
      <c r="H67" s="10"/>
      <c r="I67" s="3"/>
    </row>
    <row r="68" spans="1:9" x14ac:dyDescent="0.25">
      <c r="A68" s="2"/>
      <c r="B68" s="16"/>
      <c r="C68" s="16"/>
      <c r="D68" s="16"/>
      <c r="E68" s="16"/>
      <c r="F68" s="17"/>
      <c r="G68" s="5"/>
      <c r="H68" s="10"/>
      <c r="I68" s="3"/>
    </row>
    <row r="69" spans="1:9" x14ac:dyDescent="0.25">
      <c r="A69" s="2" t="s">
        <v>294</v>
      </c>
      <c r="B69" s="16"/>
      <c r="C69" s="16"/>
      <c r="D69" s="16"/>
      <c r="E69" s="16"/>
      <c r="F69" s="17"/>
      <c r="G69" s="5"/>
      <c r="H69" s="10"/>
      <c r="I69" s="3"/>
    </row>
  </sheetData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K15" sqref="K15"/>
    </sheetView>
  </sheetViews>
  <sheetFormatPr defaultRowHeight="15" x14ac:dyDescent="0.25"/>
  <cols>
    <col min="1" max="1" width="44.5703125" customWidth="1"/>
    <col min="2" max="2" width="8.85546875" customWidth="1"/>
    <col min="4" max="4" width="8.7109375" customWidth="1"/>
    <col min="5" max="5" width="8.85546875" customWidth="1"/>
    <col min="6" max="6" width="8" customWidth="1"/>
    <col min="7" max="7" width="14.5703125" customWidth="1"/>
    <col min="8" max="8" width="8" customWidth="1"/>
    <col min="9" max="9" width="14" customWidth="1"/>
  </cols>
  <sheetData>
    <row r="1" spans="1:9" x14ac:dyDescent="0.25">
      <c r="A1" s="2"/>
      <c r="B1" s="5" t="s">
        <v>269</v>
      </c>
      <c r="C1" s="5" t="s">
        <v>270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166</v>
      </c>
      <c r="I1" s="2" t="s">
        <v>197</v>
      </c>
    </row>
    <row r="2" spans="1:9" x14ac:dyDescent="0.25">
      <c r="A2" s="1" t="s">
        <v>36</v>
      </c>
      <c r="B2" s="7"/>
      <c r="C2" s="10"/>
      <c r="D2" s="10"/>
      <c r="E2" s="7"/>
      <c r="F2" s="10"/>
      <c r="G2" s="7"/>
      <c r="H2" s="7"/>
      <c r="I2" s="1"/>
    </row>
    <row r="3" spans="1:9" x14ac:dyDescent="0.25">
      <c r="A3" s="2" t="s">
        <v>167</v>
      </c>
      <c r="B3" s="7"/>
      <c r="C3" s="10"/>
      <c r="D3" s="10"/>
      <c r="E3" s="7"/>
      <c r="F3" s="10"/>
      <c r="G3" s="7"/>
      <c r="H3" s="7"/>
      <c r="I3" s="1"/>
    </row>
    <row r="4" spans="1:9" x14ac:dyDescent="0.25">
      <c r="A4" s="1" t="s">
        <v>66</v>
      </c>
      <c r="B4" s="8">
        <v>60</v>
      </c>
      <c r="C4" s="10">
        <f>B4*7/100</f>
        <v>4.2</v>
      </c>
      <c r="D4" s="10">
        <f>B4*1/100</f>
        <v>0.6</v>
      </c>
      <c r="E4" s="7">
        <f>B4*71.4/100</f>
        <v>42.84</v>
      </c>
      <c r="F4" s="10">
        <f>B4*330/100</f>
        <v>198</v>
      </c>
      <c r="G4" s="7"/>
      <c r="H4" s="7"/>
      <c r="I4" s="1"/>
    </row>
    <row r="5" spans="1:9" x14ac:dyDescent="0.25">
      <c r="A5" s="1" t="s">
        <v>7</v>
      </c>
      <c r="B5" s="8">
        <v>40</v>
      </c>
      <c r="C5" s="10">
        <f>B5*3.5/100</f>
        <v>1.4</v>
      </c>
      <c r="D5" s="10">
        <f>B5*3.5/100</f>
        <v>1.4</v>
      </c>
      <c r="E5" s="7">
        <f>B5*4.7/100</f>
        <v>1.88</v>
      </c>
      <c r="F5" s="10">
        <f>B5*61/100</f>
        <v>24.4</v>
      </c>
      <c r="G5" s="7"/>
      <c r="H5" s="7"/>
      <c r="I5" s="1"/>
    </row>
    <row r="6" spans="1:9" x14ac:dyDescent="0.25">
      <c r="A6" s="1" t="s">
        <v>21</v>
      </c>
      <c r="B6" s="8">
        <v>13</v>
      </c>
      <c r="C6" s="10">
        <f>B6*12.7/100</f>
        <v>1.651</v>
      </c>
      <c r="D6" s="10">
        <f>B6*11.5/100</f>
        <v>1.4950000000000001</v>
      </c>
      <c r="E6" s="7">
        <f>B6*0.7/100</f>
        <v>9.0999999999999998E-2</v>
      </c>
      <c r="F6" s="10">
        <f>B6*157/100</f>
        <v>20.41</v>
      </c>
      <c r="G6" s="7"/>
      <c r="H6" s="7"/>
      <c r="I6" s="1"/>
    </row>
    <row r="7" spans="1:9" x14ac:dyDescent="0.25">
      <c r="A7" s="1" t="s">
        <v>9</v>
      </c>
      <c r="B7" s="8">
        <v>8</v>
      </c>
      <c r="C7" s="10">
        <f>B7*0/100</f>
        <v>0</v>
      </c>
      <c r="D7" s="10">
        <f>B7*0/100</f>
        <v>0</v>
      </c>
      <c r="E7" s="7">
        <f>B7*99.8/100</f>
        <v>7.984</v>
      </c>
      <c r="F7" s="10">
        <f>B7*379/100</f>
        <v>30.32</v>
      </c>
      <c r="G7" s="7"/>
      <c r="H7" s="7"/>
      <c r="I7" s="1"/>
    </row>
    <row r="8" spans="1:9" x14ac:dyDescent="0.25">
      <c r="A8" s="1" t="s">
        <v>8</v>
      </c>
      <c r="B8" s="8">
        <v>2</v>
      </c>
      <c r="C8" s="10">
        <f>B8*0.7/100</f>
        <v>1.3999999999999999E-2</v>
      </c>
      <c r="D8" s="10">
        <f t="shared" ref="D8:D18" si="0">B8*72.5/100</f>
        <v>1.45</v>
      </c>
      <c r="E8" s="7">
        <f>B8*1/100</f>
        <v>0.02</v>
      </c>
      <c r="F8" s="10">
        <f>B8*709/100</f>
        <v>14.18</v>
      </c>
      <c r="G8" s="7"/>
      <c r="H8" s="7"/>
      <c r="I8" s="1"/>
    </row>
    <row r="9" spans="1:9" x14ac:dyDescent="0.25">
      <c r="A9" s="1" t="s">
        <v>57</v>
      </c>
      <c r="B9" s="8">
        <v>3</v>
      </c>
      <c r="C9" s="10">
        <f>B9*0/100</f>
        <v>0</v>
      </c>
      <c r="D9" s="10">
        <f>B9*99.9/100</f>
        <v>2.9970000000000003</v>
      </c>
      <c r="E9" s="7">
        <f>B9*0/100</f>
        <v>0</v>
      </c>
      <c r="F9" s="10">
        <f>B9*899/100</f>
        <v>26.97</v>
      </c>
      <c r="G9" s="5"/>
      <c r="H9" s="5"/>
      <c r="I9" s="1"/>
    </row>
    <row r="10" spans="1:9" x14ac:dyDescent="0.25">
      <c r="A10" s="1" t="s">
        <v>62</v>
      </c>
      <c r="B10" s="8">
        <v>30</v>
      </c>
      <c r="C10" s="10">
        <f>B10*7.9/100</f>
        <v>2.37</v>
      </c>
      <c r="D10" s="10">
        <f>B10*8.5/100</f>
        <v>2.5499999999999998</v>
      </c>
      <c r="E10" s="7">
        <f>B10*56/100</f>
        <v>16.8</v>
      </c>
      <c r="F10" s="10">
        <f>B10*320/100</f>
        <v>96</v>
      </c>
      <c r="G10" s="5"/>
      <c r="H10" s="5"/>
      <c r="I10" s="1"/>
    </row>
    <row r="11" spans="1:9" x14ac:dyDescent="0.25">
      <c r="A11" s="2" t="s">
        <v>14</v>
      </c>
      <c r="B11" s="5"/>
      <c r="C11" s="5">
        <f>C4+C5+C6+C7+C8+C9+C10</f>
        <v>9.6349999999999998</v>
      </c>
      <c r="D11" s="5">
        <f>D4+D5+D6+D7+D8+D9+D10</f>
        <v>10.492000000000001</v>
      </c>
      <c r="E11" s="5">
        <f>E4+E5+E6+E7+E8+E9+E10</f>
        <v>69.615000000000009</v>
      </c>
      <c r="F11" s="5">
        <f>F4+F5+F6+F7+F8+F9+F10</f>
        <v>410.28</v>
      </c>
      <c r="G11" s="5" t="s">
        <v>344</v>
      </c>
      <c r="H11" s="5"/>
      <c r="I11" s="1" t="s">
        <v>261</v>
      </c>
    </row>
    <row r="12" spans="1:9" x14ac:dyDescent="0.25">
      <c r="A12" s="2" t="s">
        <v>168</v>
      </c>
      <c r="B12" s="7"/>
      <c r="C12" s="10"/>
      <c r="D12" s="10"/>
      <c r="E12" s="7"/>
      <c r="F12" s="10"/>
      <c r="G12" s="5"/>
      <c r="H12" s="5"/>
      <c r="I12" s="1"/>
    </row>
    <row r="13" spans="1:9" x14ac:dyDescent="0.25">
      <c r="A13" s="1" t="s">
        <v>39</v>
      </c>
      <c r="B13" s="8">
        <v>1.3</v>
      </c>
      <c r="C13" s="10">
        <f>B13*24.2/100</f>
        <v>0.31459999999999999</v>
      </c>
      <c r="D13" s="10">
        <f>B13*17.5/100</f>
        <v>0.22750000000000001</v>
      </c>
      <c r="E13" s="7">
        <f>B13*27.9/100</f>
        <v>0.36269999999999997</v>
      </c>
      <c r="F13" s="10">
        <f>B13*373/100</f>
        <v>4.8490000000000002</v>
      </c>
      <c r="G13" s="5"/>
      <c r="H13" s="5"/>
      <c r="I13" s="1"/>
    </row>
    <row r="14" spans="1:9" x14ac:dyDescent="0.25">
      <c r="A14" s="1" t="s">
        <v>99</v>
      </c>
      <c r="B14" s="7">
        <v>100</v>
      </c>
      <c r="C14" s="10">
        <f>B14*2.8/100</f>
        <v>2.8</v>
      </c>
      <c r="D14" s="10">
        <f>B14*3.5/100</f>
        <v>3.5</v>
      </c>
      <c r="E14" s="7">
        <f>B14*4.7/100</f>
        <v>4.7</v>
      </c>
      <c r="F14" s="10">
        <f>B14*61/100</f>
        <v>61</v>
      </c>
      <c r="G14" s="5"/>
      <c r="H14" s="5"/>
      <c r="I14" s="1"/>
    </row>
    <row r="15" spans="1:9" x14ac:dyDescent="0.25">
      <c r="A15" s="1" t="s">
        <v>9</v>
      </c>
      <c r="B15" s="8">
        <v>6</v>
      </c>
      <c r="C15" s="10">
        <f>B15*0/100</f>
        <v>0</v>
      </c>
      <c r="D15" s="10">
        <f>B15*0/100</f>
        <v>0</v>
      </c>
      <c r="E15" s="7">
        <f>B15*99.8/100</f>
        <v>5.9879999999999995</v>
      </c>
      <c r="F15" s="10">
        <f>B15*379/100</f>
        <v>22.74</v>
      </c>
      <c r="G15" s="5"/>
      <c r="H15" s="5"/>
      <c r="I15" s="1"/>
    </row>
    <row r="16" spans="1:9" x14ac:dyDescent="0.25">
      <c r="A16" s="2" t="s">
        <v>14</v>
      </c>
      <c r="B16" s="5"/>
      <c r="C16" s="5">
        <f>C13+C14+C15</f>
        <v>3.1145999999999998</v>
      </c>
      <c r="D16" s="5">
        <f>D13+D14+D15</f>
        <v>3.7275</v>
      </c>
      <c r="E16" s="5">
        <f>E13+E14+E15</f>
        <v>11.050699999999999</v>
      </c>
      <c r="F16" s="5">
        <f>F13+F14+F15</f>
        <v>88.588999999999999</v>
      </c>
      <c r="G16" s="5">
        <v>180</v>
      </c>
      <c r="H16" s="5"/>
      <c r="I16" s="1"/>
    </row>
    <row r="17" spans="1:9" x14ac:dyDescent="0.25">
      <c r="A17" s="1" t="s">
        <v>111</v>
      </c>
      <c r="B17" s="7">
        <v>60</v>
      </c>
      <c r="C17" s="10">
        <f>B17*7.7/100</f>
        <v>4.62</v>
      </c>
      <c r="D17" s="10">
        <f>B17*3/100</f>
        <v>1.8</v>
      </c>
      <c r="E17" s="7">
        <f>B17*49.8/100</f>
        <v>29.88</v>
      </c>
      <c r="F17" s="10">
        <f>B17*262/100</f>
        <v>157.19999999999999</v>
      </c>
      <c r="G17" s="5">
        <v>60</v>
      </c>
      <c r="H17" s="5"/>
      <c r="I17" s="1"/>
    </row>
    <row r="18" spans="1:9" x14ac:dyDescent="0.25">
      <c r="A18" s="1" t="s">
        <v>8</v>
      </c>
      <c r="B18" s="7">
        <v>8</v>
      </c>
      <c r="C18" s="10">
        <f>B18*0.7/100</f>
        <v>5.5999999999999994E-2</v>
      </c>
      <c r="D18" s="10">
        <f t="shared" si="0"/>
        <v>5.8</v>
      </c>
      <c r="E18" s="7">
        <f>B18*1/100</f>
        <v>0.08</v>
      </c>
      <c r="F18" s="10">
        <f>B18*709/100</f>
        <v>56.72</v>
      </c>
      <c r="G18" s="5">
        <v>8</v>
      </c>
      <c r="H18" s="5"/>
      <c r="I18" s="1"/>
    </row>
    <row r="19" spans="1:9" x14ac:dyDescent="0.25">
      <c r="A19" s="2" t="s">
        <v>118</v>
      </c>
      <c r="B19" s="5"/>
      <c r="C19" s="5">
        <f>C11+C16+C17+C18</f>
        <v>17.425599999999999</v>
      </c>
      <c r="D19" s="5">
        <f>D11+D16+D17+D18</f>
        <v>21.819500000000001</v>
      </c>
      <c r="E19" s="5">
        <f>E11+E16+E17+E18</f>
        <v>110.62570000000001</v>
      </c>
      <c r="F19" s="5">
        <f>F11+F16+F17+F18</f>
        <v>712.78899999999999</v>
      </c>
      <c r="G19" s="5">
        <v>438</v>
      </c>
      <c r="H19" s="5"/>
      <c r="I19" s="1" t="s">
        <v>208</v>
      </c>
    </row>
    <row r="20" spans="1:9" ht="13.5" customHeight="1" x14ac:dyDescent="0.25">
      <c r="A20" s="1"/>
      <c r="B20" s="7"/>
      <c r="C20" s="10"/>
      <c r="D20" s="10"/>
      <c r="E20" s="7"/>
      <c r="F20" s="10"/>
      <c r="G20" s="5"/>
      <c r="H20" s="5"/>
      <c r="I20" s="1"/>
    </row>
    <row r="21" spans="1:9" x14ac:dyDescent="0.25">
      <c r="A21" s="2" t="s">
        <v>191</v>
      </c>
      <c r="B21" s="5">
        <v>150</v>
      </c>
      <c r="C21" s="5">
        <f>B21*5/100</f>
        <v>7.5</v>
      </c>
      <c r="D21" s="5">
        <f>B21*1.5/100</f>
        <v>2.25</v>
      </c>
      <c r="E21" s="5">
        <f>B21*8.5/100</f>
        <v>12.75</v>
      </c>
      <c r="F21" s="5">
        <f>B21*51/100</f>
        <v>76.5</v>
      </c>
      <c r="G21" s="5">
        <v>150</v>
      </c>
      <c r="H21" s="5"/>
      <c r="I21" s="1"/>
    </row>
    <row r="22" spans="1:9" ht="10.5" customHeight="1" x14ac:dyDescent="0.25">
      <c r="A22" s="1"/>
      <c r="B22" s="7"/>
      <c r="C22" s="10"/>
      <c r="D22" s="10"/>
      <c r="E22" s="7"/>
      <c r="F22" s="10"/>
      <c r="G22" s="7"/>
      <c r="H22" s="7"/>
      <c r="I22" s="1"/>
    </row>
    <row r="23" spans="1:9" x14ac:dyDescent="0.25">
      <c r="A23" s="1" t="s">
        <v>33</v>
      </c>
      <c r="B23" s="7"/>
      <c r="C23" s="10"/>
      <c r="D23" s="10"/>
      <c r="E23" s="7"/>
      <c r="F23" s="10"/>
      <c r="G23" s="7"/>
      <c r="H23" s="7"/>
      <c r="I23" s="1"/>
    </row>
    <row r="24" spans="1:9" x14ac:dyDescent="0.25">
      <c r="A24" s="2" t="s">
        <v>170</v>
      </c>
      <c r="B24" s="7"/>
      <c r="C24" s="10"/>
      <c r="D24" s="10"/>
      <c r="E24" s="7"/>
      <c r="F24" s="10"/>
      <c r="G24" s="7"/>
      <c r="H24" s="7"/>
      <c r="I24" s="1"/>
    </row>
    <row r="25" spans="1:9" x14ac:dyDescent="0.25">
      <c r="A25" s="1" t="s">
        <v>41</v>
      </c>
      <c r="B25" s="8">
        <v>30</v>
      </c>
      <c r="C25" s="10">
        <f>B25*18.6/100</f>
        <v>5.58</v>
      </c>
      <c r="D25" s="10">
        <f>B25*16/100</f>
        <v>4.8</v>
      </c>
      <c r="E25" s="7">
        <f>B25*0/100</f>
        <v>0</v>
      </c>
      <c r="F25" s="10">
        <f>B25*218/100</f>
        <v>65.400000000000006</v>
      </c>
      <c r="G25" s="7"/>
      <c r="H25" s="7"/>
      <c r="I25" s="1"/>
    </row>
    <row r="26" spans="1:9" x14ac:dyDescent="0.25">
      <c r="A26" s="1" t="s">
        <v>15</v>
      </c>
      <c r="B26" s="8">
        <v>40</v>
      </c>
      <c r="C26" s="10">
        <f>B26*2.8/100</f>
        <v>1.1200000000000001</v>
      </c>
      <c r="D26" s="10">
        <f>B26*0.4/100</f>
        <v>0.16</v>
      </c>
      <c r="E26" s="7">
        <f>B26*17.3/100</f>
        <v>6.92</v>
      </c>
      <c r="F26" s="10">
        <f>B26*80/100</f>
        <v>32</v>
      </c>
      <c r="G26" s="7"/>
      <c r="H26" s="7"/>
      <c r="I26" s="1"/>
    </row>
    <row r="27" spans="1:9" x14ac:dyDescent="0.25">
      <c r="A27" s="1" t="s">
        <v>20</v>
      </c>
      <c r="B27" s="8">
        <v>13</v>
      </c>
      <c r="C27" s="10">
        <f>B27*1.4/100</f>
        <v>0.182</v>
      </c>
      <c r="D27" s="10">
        <f>B27*0/100</f>
        <v>0</v>
      </c>
      <c r="E27" s="7">
        <f>B27*9.1/100</f>
        <v>1.1830000000000001</v>
      </c>
      <c r="F27" s="10">
        <f>B27*41/100</f>
        <v>5.33</v>
      </c>
      <c r="G27" s="7"/>
      <c r="H27" s="7"/>
      <c r="I27" s="1"/>
    </row>
    <row r="28" spans="1:9" x14ac:dyDescent="0.25">
      <c r="A28" s="1" t="s">
        <v>171</v>
      </c>
      <c r="B28" s="8">
        <v>13</v>
      </c>
      <c r="C28" s="10">
        <f>B28*1.3/100</f>
        <v>0.16900000000000001</v>
      </c>
      <c r="D28" s="10">
        <f>B28*0.1/100</f>
        <v>1.3000000000000001E-2</v>
      </c>
      <c r="E28" s="7">
        <f>B28*8.4/100</f>
        <v>1.0920000000000001</v>
      </c>
      <c r="F28" s="10">
        <f>B28*34/100</f>
        <v>4.42</v>
      </c>
      <c r="G28" s="7"/>
      <c r="H28" s="7"/>
      <c r="I28" s="1"/>
    </row>
    <row r="29" spans="1:9" x14ac:dyDescent="0.25">
      <c r="A29" s="1" t="s">
        <v>28</v>
      </c>
      <c r="B29" s="10">
        <v>4</v>
      </c>
      <c r="C29" s="10">
        <f>B29*4.8/100</f>
        <v>0.192</v>
      </c>
      <c r="D29" s="10">
        <f>B29*0/100</f>
        <v>0</v>
      </c>
      <c r="E29" s="7">
        <f>B29*19/100</f>
        <v>0.76</v>
      </c>
      <c r="F29" s="10">
        <f>B29*99/100</f>
        <v>3.96</v>
      </c>
      <c r="G29" s="7"/>
      <c r="H29" s="7"/>
      <c r="I29" s="1"/>
    </row>
    <row r="30" spans="1:9" x14ac:dyDescent="0.25">
      <c r="A30" s="1" t="s">
        <v>8</v>
      </c>
      <c r="B30" s="8">
        <v>2</v>
      </c>
      <c r="C30" s="10">
        <f>B30*0.7/100</f>
        <v>1.3999999999999999E-2</v>
      </c>
      <c r="D30" s="10">
        <f>B30*72.5/100</f>
        <v>1.45</v>
      </c>
      <c r="E30" s="7">
        <f>B30*1/100</f>
        <v>0.02</v>
      </c>
      <c r="F30" s="10">
        <f>B30*709/100</f>
        <v>14.18</v>
      </c>
      <c r="G30" s="7"/>
      <c r="H30" s="7"/>
      <c r="I30" s="1"/>
    </row>
    <row r="31" spans="1:9" x14ac:dyDescent="0.25">
      <c r="A31" s="1" t="s">
        <v>21</v>
      </c>
      <c r="B31" s="8">
        <v>6</v>
      </c>
      <c r="C31" s="10">
        <f>B31*12.7/100</f>
        <v>0.7619999999999999</v>
      </c>
      <c r="D31" s="10">
        <f>B31*11.5/100</f>
        <v>0.69</v>
      </c>
      <c r="E31" s="7">
        <f>B31*0.7/100</f>
        <v>4.1999999999999996E-2</v>
      </c>
      <c r="F31" s="10">
        <f>B31*157/100</f>
        <v>9.42</v>
      </c>
      <c r="G31" s="5"/>
      <c r="H31" s="5"/>
      <c r="I31" s="1"/>
    </row>
    <row r="32" spans="1:9" x14ac:dyDescent="0.25">
      <c r="A32" s="2" t="s">
        <v>14</v>
      </c>
      <c r="B32" s="5"/>
      <c r="C32" s="5">
        <f>C25+C26+C27+C28+C29+C30+C31</f>
        <v>8.0190000000000001</v>
      </c>
      <c r="D32" s="5">
        <f>D25+D26+D27+D28+D29+D30+D31</f>
        <v>7.1129999999999995</v>
      </c>
      <c r="E32" s="5">
        <f>E26+E27+E28+E29+E30+E31</f>
        <v>10.016999999999999</v>
      </c>
      <c r="F32" s="5">
        <f>F25+F26+F27+F28+F29+F30+F31</f>
        <v>134.70999999999998</v>
      </c>
      <c r="G32" s="5" t="s">
        <v>78</v>
      </c>
      <c r="H32" s="5"/>
      <c r="I32" s="1" t="s">
        <v>262</v>
      </c>
    </row>
    <row r="33" spans="1:9" x14ac:dyDescent="0.25">
      <c r="A33" s="2" t="s">
        <v>268</v>
      </c>
      <c r="B33" s="7"/>
      <c r="C33" s="10"/>
      <c r="D33" s="10"/>
      <c r="E33" s="7"/>
      <c r="F33" s="10"/>
      <c r="G33" s="5"/>
      <c r="H33" s="5"/>
      <c r="I33" s="1"/>
    </row>
    <row r="34" spans="1:9" x14ac:dyDescent="0.25">
      <c r="A34" s="1" t="s">
        <v>173</v>
      </c>
      <c r="B34" s="8">
        <v>70</v>
      </c>
      <c r="C34" s="10">
        <f>B34*17.9/100</f>
        <v>12.53</v>
      </c>
      <c r="D34" s="10">
        <f>B34*3.7/100</f>
        <v>2.59</v>
      </c>
      <c r="E34" s="7">
        <f>B34*0/100</f>
        <v>0</v>
      </c>
      <c r="F34" s="10">
        <f>B34*105/100</f>
        <v>73.5</v>
      </c>
      <c r="G34" s="5"/>
      <c r="H34" s="5"/>
      <c r="I34" s="1"/>
    </row>
    <row r="35" spans="1:9" x14ac:dyDescent="0.25">
      <c r="A35" s="1" t="s">
        <v>7</v>
      </c>
      <c r="B35" s="8">
        <v>20</v>
      </c>
      <c r="C35" s="10">
        <f>B35*2.8/100</f>
        <v>0.56000000000000005</v>
      </c>
      <c r="D35" s="10">
        <f>B35*3.5/100</f>
        <v>0.7</v>
      </c>
      <c r="E35" s="7">
        <f>B35*4.7/100</f>
        <v>0.94</v>
      </c>
      <c r="F35" s="10">
        <f>B35*61/100</f>
        <v>12.2</v>
      </c>
      <c r="G35" s="5"/>
      <c r="H35" s="5"/>
      <c r="I35" s="1"/>
    </row>
    <row r="36" spans="1:9" x14ac:dyDescent="0.25">
      <c r="A36" s="1" t="s">
        <v>20</v>
      </c>
      <c r="B36" s="8">
        <v>26</v>
      </c>
      <c r="C36" s="10">
        <f>B36*1.4/100</f>
        <v>0.36399999999999999</v>
      </c>
      <c r="D36" s="10">
        <f>B36*0/100</f>
        <v>0</v>
      </c>
      <c r="E36" s="7">
        <f>B36*9.1/100</f>
        <v>2.3660000000000001</v>
      </c>
      <c r="F36" s="10">
        <f>B36*41/100</f>
        <v>10.66</v>
      </c>
      <c r="G36" s="5"/>
      <c r="H36" s="5"/>
      <c r="I36" s="1"/>
    </row>
    <row r="37" spans="1:9" x14ac:dyDescent="0.25">
      <c r="A37" s="1" t="s">
        <v>16</v>
      </c>
      <c r="B37" s="8">
        <v>26</v>
      </c>
      <c r="C37" s="10">
        <f>B37*1.3/100</f>
        <v>0.33800000000000002</v>
      </c>
      <c r="D37" s="10">
        <f>B37*0.1/100</f>
        <v>2.6000000000000002E-2</v>
      </c>
      <c r="E37" s="7">
        <f>B37*8.4/100</f>
        <v>2.1840000000000002</v>
      </c>
      <c r="F37" s="10">
        <f>B37*34/100</f>
        <v>8.84</v>
      </c>
      <c r="G37" s="5"/>
      <c r="H37" s="5"/>
      <c r="I37" s="1"/>
    </row>
    <row r="38" spans="1:9" x14ac:dyDescent="0.25">
      <c r="A38" s="1" t="s">
        <v>21</v>
      </c>
      <c r="B38" s="8">
        <v>13</v>
      </c>
      <c r="C38" s="10">
        <f>B38*12.7/100</f>
        <v>1.651</v>
      </c>
      <c r="D38" s="10">
        <f>B38*11.5/100</f>
        <v>1.4950000000000001</v>
      </c>
      <c r="E38" s="7">
        <f>B38*0.7/100</f>
        <v>9.0999999999999998E-2</v>
      </c>
      <c r="F38" s="10">
        <f>B38*157/100</f>
        <v>20.41</v>
      </c>
      <c r="G38" s="5"/>
      <c r="H38" s="5"/>
      <c r="I38" s="1"/>
    </row>
    <row r="39" spans="1:9" x14ac:dyDescent="0.25">
      <c r="A39" s="1" t="s">
        <v>123</v>
      </c>
      <c r="B39" s="8">
        <v>5</v>
      </c>
      <c r="C39" s="10">
        <f>B39*10.3/100</f>
        <v>0.51500000000000001</v>
      </c>
      <c r="D39" s="10">
        <f>B39*1.1/100</f>
        <v>5.5E-2</v>
      </c>
      <c r="E39" s="7">
        <f>B39*69/100</f>
        <v>3.45</v>
      </c>
      <c r="F39" s="10">
        <f>B39*334/100</f>
        <v>16.7</v>
      </c>
      <c r="G39" s="5"/>
      <c r="H39" s="5"/>
      <c r="I39" s="1"/>
    </row>
    <row r="40" spans="1:9" x14ac:dyDescent="0.25">
      <c r="A40" s="1" t="s">
        <v>28</v>
      </c>
      <c r="B40" s="8">
        <v>4</v>
      </c>
      <c r="C40" s="10">
        <f>B40*4.8/100</f>
        <v>0.192</v>
      </c>
      <c r="D40" s="10">
        <f>B40*0/100</f>
        <v>0</v>
      </c>
      <c r="E40" s="7">
        <f>B40*19/100</f>
        <v>0.76</v>
      </c>
      <c r="F40" s="10">
        <f>B40*99/100</f>
        <v>3.96</v>
      </c>
      <c r="G40" s="5"/>
      <c r="H40" s="5"/>
      <c r="I40" s="1"/>
    </row>
    <row r="41" spans="1:9" x14ac:dyDescent="0.25">
      <c r="A41" s="1" t="s">
        <v>8</v>
      </c>
      <c r="B41" s="8">
        <v>2</v>
      </c>
      <c r="C41" s="10">
        <f>B41*0.7/100</f>
        <v>1.3999999999999999E-2</v>
      </c>
      <c r="D41" s="10">
        <f t="shared" ref="D41" si="1">B41*72.5/100</f>
        <v>1.45</v>
      </c>
      <c r="E41" s="7">
        <f>B41*1/100</f>
        <v>0.02</v>
      </c>
      <c r="F41" s="10">
        <f>B41*709/100</f>
        <v>14.18</v>
      </c>
      <c r="G41" s="5"/>
      <c r="H41" s="5"/>
      <c r="I41" s="1"/>
    </row>
    <row r="42" spans="1:9" x14ac:dyDescent="0.25">
      <c r="A42" s="1" t="s">
        <v>57</v>
      </c>
      <c r="B42" s="8">
        <v>3</v>
      </c>
      <c r="C42" s="10">
        <f>B42*0/100</f>
        <v>0</v>
      </c>
      <c r="D42" s="10">
        <f>B42*99.9/100</f>
        <v>2.9970000000000003</v>
      </c>
      <c r="E42" s="7">
        <f>B42*0/100</f>
        <v>0</v>
      </c>
      <c r="F42" s="10">
        <f>B42*899/100</f>
        <v>26.97</v>
      </c>
      <c r="G42" s="5"/>
      <c r="H42" s="5"/>
      <c r="I42" s="1"/>
    </row>
    <row r="43" spans="1:9" x14ac:dyDescent="0.25">
      <c r="A43" s="2" t="s">
        <v>14</v>
      </c>
      <c r="B43" s="5"/>
      <c r="C43" s="5">
        <f>C34+C35+C36+C37+C38+C39+C40+C41+C42</f>
        <v>16.163999999999998</v>
      </c>
      <c r="D43" s="5">
        <f>D34+D35+D36+D37+D38+D39+D40+D41+D42</f>
        <v>9.3130000000000006</v>
      </c>
      <c r="E43" s="5">
        <f>E35+E36+E37+E38+E39+E40+E41+E42</f>
        <v>9.8109999999999999</v>
      </c>
      <c r="F43" s="5">
        <f>F34+F35+F36+F37+F38+F39+F40+F41+F42</f>
        <v>187.42000000000002</v>
      </c>
      <c r="G43" s="5" t="s">
        <v>345</v>
      </c>
      <c r="H43" s="5"/>
      <c r="I43" s="1" t="s">
        <v>263</v>
      </c>
    </row>
    <row r="44" spans="1:9" x14ac:dyDescent="0.25">
      <c r="A44" s="2" t="s">
        <v>174</v>
      </c>
      <c r="B44" s="7"/>
      <c r="C44" s="10"/>
      <c r="D44" s="10"/>
      <c r="E44" s="7"/>
      <c r="F44" s="10"/>
      <c r="G44" s="5"/>
      <c r="H44" s="5"/>
      <c r="I44" s="1"/>
    </row>
    <row r="45" spans="1:9" x14ac:dyDescent="0.25">
      <c r="A45" s="1" t="s">
        <v>175</v>
      </c>
      <c r="B45" s="8">
        <v>20</v>
      </c>
      <c r="C45" s="10">
        <f>B45*0.8/100</f>
        <v>0.16</v>
      </c>
      <c r="D45" s="10">
        <f>B45*0.4/100</f>
        <v>0.08</v>
      </c>
      <c r="E45" s="7">
        <f>B45*6.3/100</f>
        <v>1.26</v>
      </c>
      <c r="F45" s="10">
        <f>B45*34/100</f>
        <v>6.8</v>
      </c>
      <c r="G45" s="5"/>
      <c r="H45" s="5"/>
      <c r="I45" s="1"/>
    </row>
    <row r="46" spans="1:9" x14ac:dyDescent="0.25">
      <c r="A46" s="1" t="s">
        <v>53</v>
      </c>
      <c r="B46" s="7">
        <v>2</v>
      </c>
      <c r="C46" s="10">
        <f>B46*0.1/100</f>
        <v>2E-3</v>
      </c>
      <c r="D46" s="10">
        <f>B46*0/100</f>
        <v>0</v>
      </c>
      <c r="E46" s="7">
        <f>B46*0/100</f>
        <v>0</v>
      </c>
      <c r="F46" s="10">
        <f>B46*79.6/100</f>
        <v>1.5919999999999999</v>
      </c>
      <c r="G46" s="5"/>
      <c r="H46" s="5"/>
      <c r="I46" s="1"/>
    </row>
    <row r="47" spans="1:9" x14ac:dyDescent="0.25">
      <c r="A47" s="1" t="s">
        <v>9</v>
      </c>
      <c r="B47" s="7">
        <v>7</v>
      </c>
      <c r="C47" s="10">
        <f>B47*0/100</f>
        <v>0</v>
      </c>
      <c r="D47" s="10">
        <f>B47*0/100</f>
        <v>0</v>
      </c>
      <c r="E47" s="7">
        <f>B47*99.8/100</f>
        <v>6.9860000000000007</v>
      </c>
      <c r="F47" s="10">
        <f>B47*379/100</f>
        <v>26.53</v>
      </c>
      <c r="G47" s="5"/>
      <c r="H47" s="5"/>
      <c r="I47" s="1"/>
    </row>
    <row r="48" spans="1:9" x14ac:dyDescent="0.25">
      <c r="A48" s="2" t="s">
        <v>14</v>
      </c>
      <c r="B48" s="5"/>
      <c r="C48" s="5">
        <f>C45+C46</f>
        <v>0.16200000000000001</v>
      </c>
      <c r="D48" s="5">
        <f>D45+D46+D47</f>
        <v>0.08</v>
      </c>
      <c r="E48" s="5">
        <f>E45+E46+E47</f>
        <v>8.2460000000000004</v>
      </c>
      <c r="F48" s="5">
        <f>F45+F46+F47</f>
        <v>34.921999999999997</v>
      </c>
      <c r="G48" s="5">
        <v>180</v>
      </c>
      <c r="H48" s="5"/>
      <c r="I48" s="1" t="s">
        <v>213</v>
      </c>
    </row>
    <row r="49" spans="1:9" x14ac:dyDescent="0.25">
      <c r="A49" s="2" t="s">
        <v>323</v>
      </c>
      <c r="B49" s="7"/>
      <c r="C49" s="10"/>
      <c r="D49" s="10"/>
      <c r="E49" s="7"/>
      <c r="F49" s="10"/>
      <c r="G49" s="5"/>
      <c r="H49" s="5"/>
      <c r="I49" s="1"/>
    </row>
    <row r="50" spans="1:9" x14ac:dyDescent="0.25">
      <c r="A50" s="1" t="s">
        <v>324</v>
      </c>
      <c r="B50" s="8">
        <v>60</v>
      </c>
      <c r="C50" s="7">
        <f>B50*1.8/100</f>
        <v>1.08</v>
      </c>
      <c r="D50" s="7">
        <f>B50*0.1/100</f>
        <v>0.06</v>
      </c>
      <c r="E50" s="7">
        <f>B50*4.7/100</f>
        <v>2.82</v>
      </c>
      <c r="F50" s="7">
        <f>B50*27/100</f>
        <v>16.2</v>
      </c>
      <c r="G50" s="7"/>
      <c r="H50" s="7"/>
      <c r="I50" s="1"/>
    </row>
    <row r="51" spans="1:9" x14ac:dyDescent="0.25">
      <c r="A51" s="1" t="s">
        <v>57</v>
      </c>
      <c r="B51" s="8">
        <v>8</v>
      </c>
      <c r="C51" s="10">
        <f>B51*0/100</f>
        <v>0</v>
      </c>
      <c r="D51" s="10">
        <f>B51*99.9/100</f>
        <v>7.9920000000000009</v>
      </c>
      <c r="E51" s="7">
        <f>B51*0/100</f>
        <v>0</v>
      </c>
      <c r="F51" s="10">
        <f>B51*899/100</f>
        <v>71.92</v>
      </c>
      <c r="G51" s="5"/>
      <c r="H51" s="5"/>
      <c r="I51" s="1"/>
    </row>
    <row r="52" spans="1:9" x14ac:dyDescent="0.25">
      <c r="A52" s="1" t="s">
        <v>9</v>
      </c>
      <c r="B52" s="7">
        <v>2</v>
      </c>
      <c r="C52" s="10">
        <f>B52*0/100</f>
        <v>0</v>
      </c>
      <c r="D52" s="10">
        <f>B52*0/100</f>
        <v>0</v>
      </c>
      <c r="E52" s="7">
        <f>B52*99.8/100</f>
        <v>1.996</v>
      </c>
      <c r="F52" s="10">
        <f>B52*379/100</f>
        <v>7.58</v>
      </c>
      <c r="G52" s="5"/>
      <c r="H52" s="5"/>
      <c r="I52" s="1"/>
    </row>
    <row r="53" spans="1:9" x14ac:dyDescent="0.25">
      <c r="A53" s="2" t="s">
        <v>14</v>
      </c>
      <c r="B53" s="5"/>
      <c r="C53" s="5">
        <f>C50+C51+C52</f>
        <v>1.08</v>
      </c>
      <c r="D53" s="5">
        <f>D50+D51+D52</f>
        <v>8.0520000000000014</v>
      </c>
      <c r="E53" s="5">
        <f>E50+E51+E52</f>
        <v>4.8159999999999998</v>
      </c>
      <c r="F53" s="5">
        <f>F50+F51+F52</f>
        <v>95.7</v>
      </c>
      <c r="G53" s="5">
        <v>70</v>
      </c>
      <c r="H53" s="5"/>
      <c r="I53" s="1"/>
    </row>
    <row r="54" spans="1:9" x14ac:dyDescent="0.25">
      <c r="A54" s="1" t="s">
        <v>32</v>
      </c>
      <c r="B54" s="5">
        <v>37</v>
      </c>
      <c r="C54" s="5">
        <f>B54*6.6/100</f>
        <v>2.4419999999999997</v>
      </c>
      <c r="D54" s="5">
        <f>B54*1.8/100</f>
        <v>0.66600000000000004</v>
      </c>
      <c r="E54" s="5">
        <f>B54*34.2/100</f>
        <v>12.654000000000002</v>
      </c>
      <c r="F54" s="5">
        <f>B54*181/100</f>
        <v>66.97</v>
      </c>
      <c r="G54" s="5">
        <v>37</v>
      </c>
      <c r="H54" s="5"/>
      <c r="I54" s="1"/>
    </row>
    <row r="55" spans="1:9" x14ac:dyDescent="0.25">
      <c r="A55" s="2" t="s">
        <v>178</v>
      </c>
      <c r="B55" s="5"/>
      <c r="C55" s="5">
        <f>C32+C43+C48+C53+C54</f>
        <v>27.866999999999997</v>
      </c>
      <c r="D55" s="5">
        <f>D32+D43+D48+D53+D54</f>
        <v>25.224</v>
      </c>
      <c r="E55" s="5">
        <f>E32+E43+E48+E53+E54</f>
        <v>45.544000000000004</v>
      </c>
      <c r="F55" s="5">
        <f>F32+F43+F48+F53+F54</f>
        <v>519.72199999999998</v>
      </c>
      <c r="G55" s="5">
        <v>617</v>
      </c>
      <c r="H55" s="5"/>
      <c r="I55" s="1"/>
    </row>
    <row r="56" spans="1:9" x14ac:dyDescent="0.25">
      <c r="A56" s="1" t="s">
        <v>196</v>
      </c>
      <c r="B56" s="7">
        <v>3.75</v>
      </c>
      <c r="C56" s="10"/>
      <c r="D56" s="10"/>
      <c r="E56" s="7"/>
      <c r="F56" s="10"/>
      <c r="G56" s="5"/>
      <c r="H56" s="5"/>
      <c r="I56" s="1"/>
    </row>
    <row r="57" spans="1:9" ht="19.5" customHeight="1" x14ac:dyDescent="0.25">
      <c r="A57" s="22" t="s">
        <v>277</v>
      </c>
      <c r="B57" s="16"/>
      <c r="C57" s="16"/>
      <c r="D57" s="16"/>
      <c r="E57" s="16"/>
      <c r="F57" s="16"/>
      <c r="G57" s="7"/>
      <c r="H57" s="7"/>
      <c r="I57" s="1"/>
    </row>
    <row r="58" spans="1:9" ht="15.75" x14ac:dyDescent="0.25">
      <c r="A58" s="26" t="s">
        <v>255</v>
      </c>
      <c r="B58" s="10">
        <v>150</v>
      </c>
      <c r="C58" s="10">
        <f>B58*0.5/100</f>
        <v>0.75</v>
      </c>
      <c r="D58" s="10">
        <f>B58*0/100</f>
        <v>0</v>
      </c>
      <c r="E58" s="10">
        <f>B58*9.1/100</f>
        <v>13.65</v>
      </c>
      <c r="F58" s="10">
        <f>B58*38/100</f>
        <v>57</v>
      </c>
      <c r="G58" s="5">
        <v>150</v>
      </c>
      <c r="H58" s="5"/>
      <c r="I58" s="1" t="s">
        <v>210</v>
      </c>
    </row>
    <row r="59" spans="1:9" x14ac:dyDescent="0.25">
      <c r="A59" s="1" t="s">
        <v>322</v>
      </c>
      <c r="B59" s="10">
        <v>80</v>
      </c>
      <c r="C59" s="10">
        <f>B59*10.4/100</f>
        <v>8.32</v>
      </c>
      <c r="D59" s="10">
        <f>B59*5.2/100</f>
        <v>4.16</v>
      </c>
      <c r="E59" s="10">
        <f>B59*76.8/100</f>
        <v>61.44</v>
      </c>
      <c r="F59" s="10">
        <f>B59*458/100</f>
        <v>366.4</v>
      </c>
      <c r="G59" s="5">
        <v>80</v>
      </c>
      <c r="H59" s="7"/>
      <c r="I59" s="1"/>
    </row>
    <row r="60" spans="1:9" ht="15.75" x14ac:dyDescent="0.25">
      <c r="A60" s="22" t="s">
        <v>283</v>
      </c>
      <c r="B60" s="5"/>
      <c r="C60" s="5">
        <f>C58+C59</f>
        <v>9.07</v>
      </c>
      <c r="D60" s="5">
        <f>D59</f>
        <v>4.16</v>
      </c>
      <c r="E60" s="5">
        <f>E58+E59</f>
        <v>75.09</v>
      </c>
      <c r="F60" s="5">
        <f>F58+F59</f>
        <v>423.4</v>
      </c>
      <c r="G60" s="5">
        <f>G58+G59</f>
        <v>230</v>
      </c>
      <c r="H60" s="7"/>
      <c r="I60" s="1"/>
    </row>
    <row r="61" spans="1:9" ht="15.75" x14ac:dyDescent="0.25">
      <c r="A61" s="14" t="s">
        <v>281</v>
      </c>
      <c r="B61" s="16"/>
      <c r="C61" s="16">
        <f>C19+C21+C55+C60</f>
        <v>61.862599999999993</v>
      </c>
      <c r="D61" s="16">
        <f>D19+D55+D60</f>
        <v>51.203500000000005</v>
      </c>
      <c r="E61" s="16">
        <f>E19+E21+E55+E60</f>
        <v>244.00970000000001</v>
      </c>
      <c r="F61" s="16">
        <f>F19+F21+F55+F60</f>
        <v>1732.4110000000001</v>
      </c>
      <c r="G61" s="7"/>
      <c r="H61" s="7"/>
      <c r="I61" s="1"/>
    </row>
    <row r="62" spans="1:9" ht="15.75" x14ac:dyDescent="0.25">
      <c r="A62" s="14"/>
      <c r="B62" s="16"/>
      <c r="C62" s="16"/>
      <c r="D62" s="16"/>
      <c r="E62" s="16"/>
      <c r="F62" s="16"/>
      <c r="G62" s="7"/>
      <c r="H62" s="7"/>
      <c r="I62" s="1"/>
    </row>
    <row r="63" spans="1:9" ht="15.75" x14ac:dyDescent="0.25">
      <c r="A63" s="14"/>
      <c r="B63" s="16"/>
      <c r="C63" s="16"/>
      <c r="D63" s="16"/>
      <c r="E63" s="16"/>
      <c r="F63" s="16"/>
      <c r="G63" s="7"/>
      <c r="H63" s="7"/>
      <c r="I63" s="1"/>
    </row>
    <row r="64" spans="1:9" ht="15.75" x14ac:dyDescent="0.25">
      <c r="A64" s="14"/>
      <c r="B64" s="16"/>
      <c r="C64" s="16"/>
      <c r="D64" s="16"/>
      <c r="E64" s="16"/>
      <c r="F64" s="16"/>
      <c r="G64" s="7"/>
      <c r="H64" s="7"/>
      <c r="I64" s="1"/>
    </row>
    <row r="65" spans="1:9" ht="15.75" x14ac:dyDescent="0.25">
      <c r="A65" s="14"/>
      <c r="B65" s="16"/>
      <c r="C65" s="16"/>
      <c r="D65" s="16"/>
      <c r="E65" s="16"/>
      <c r="F65" s="16"/>
      <c r="G65" s="7"/>
      <c r="H65" s="7"/>
      <c r="I65" s="1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opLeftCell="A45" zoomScaleNormal="100" workbookViewId="0">
      <selection activeCell="A59" sqref="A59"/>
    </sheetView>
  </sheetViews>
  <sheetFormatPr defaultRowHeight="15" x14ac:dyDescent="0.25"/>
  <cols>
    <col min="1" max="1" width="38.7109375" customWidth="1"/>
    <col min="2" max="2" width="8.7109375" customWidth="1"/>
    <col min="3" max="3" width="8" customWidth="1"/>
    <col min="4" max="4" width="7.5703125" customWidth="1"/>
    <col min="5" max="5" width="9.7109375" customWidth="1"/>
    <col min="6" max="6" width="9.5703125" customWidth="1"/>
    <col min="7" max="8" width="7.85546875" customWidth="1"/>
    <col min="9" max="9" width="14.140625" customWidth="1"/>
  </cols>
  <sheetData>
    <row r="1" spans="1:9" x14ac:dyDescent="0.25">
      <c r="A1" s="2" t="s">
        <v>10</v>
      </c>
    </row>
    <row r="2" spans="1:9" x14ac:dyDescent="0.25">
      <c r="A2" s="1" t="s">
        <v>0</v>
      </c>
      <c r="B2" s="6" t="s">
        <v>269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22</v>
      </c>
      <c r="I2" s="6" t="s">
        <v>197</v>
      </c>
    </row>
    <row r="3" spans="1:9" x14ac:dyDescent="0.25">
      <c r="A3" s="2" t="s">
        <v>34</v>
      </c>
      <c r="B3" s="7"/>
      <c r="C3" s="7"/>
      <c r="D3" s="7"/>
      <c r="E3" s="7"/>
      <c r="F3" s="7"/>
      <c r="G3" s="7"/>
      <c r="H3" s="7"/>
      <c r="I3" s="1"/>
    </row>
    <row r="4" spans="1:9" x14ac:dyDescent="0.25">
      <c r="A4" s="1" t="s">
        <v>6</v>
      </c>
      <c r="B4" s="7">
        <v>25</v>
      </c>
      <c r="C4" s="7">
        <f>B4*12.6/100</f>
        <v>3.15</v>
      </c>
      <c r="D4" s="7">
        <f>B4*3.3/100</f>
        <v>0.82499999999999996</v>
      </c>
      <c r="E4" s="7">
        <f>B4*62.1/100</f>
        <v>15.525</v>
      </c>
      <c r="F4" s="7">
        <f>B4*335/100</f>
        <v>83.75</v>
      </c>
      <c r="G4" s="7"/>
      <c r="H4" s="7"/>
      <c r="I4" s="1"/>
    </row>
    <row r="5" spans="1:9" x14ac:dyDescent="0.25">
      <c r="A5" s="1" t="s">
        <v>7</v>
      </c>
      <c r="B5" s="7">
        <v>150</v>
      </c>
      <c r="C5" s="7">
        <f>B5*2.8/100</f>
        <v>4.2</v>
      </c>
      <c r="D5" s="7">
        <f>B5*3.5/100</f>
        <v>5.25</v>
      </c>
      <c r="E5" s="7">
        <f>B5*4.7/100</f>
        <v>7.05</v>
      </c>
      <c r="F5" s="7">
        <f>B5*61/100</f>
        <v>91.5</v>
      </c>
      <c r="G5" s="7"/>
      <c r="H5" s="7"/>
      <c r="I5" s="1"/>
    </row>
    <row r="6" spans="1:9" x14ac:dyDescent="0.25">
      <c r="A6" s="1" t="s">
        <v>8</v>
      </c>
      <c r="B6" s="7">
        <v>2</v>
      </c>
      <c r="C6" s="7">
        <f>B6*0.7/100</f>
        <v>1.3999999999999999E-2</v>
      </c>
      <c r="D6" s="7">
        <f>B6*72.5/100</f>
        <v>1.45</v>
      </c>
      <c r="E6" s="7">
        <f>B6*1/100</f>
        <v>0.02</v>
      </c>
      <c r="F6" s="7">
        <f>B6*709/100</f>
        <v>14.18</v>
      </c>
      <c r="G6" s="7"/>
      <c r="H6" s="7"/>
      <c r="I6" s="1"/>
    </row>
    <row r="7" spans="1:9" x14ac:dyDescent="0.25">
      <c r="A7" s="1" t="s">
        <v>9</v>
      </c>
      <c r="B7" s="8">
        <v>5</v>
      </c>
      <c r="C7" s="7">
        <f>B7*0/100</f>
        <v>0</v>
      </c>
      <c r="D7" s="7">
        <f>B7*0/100</f>
        <v>0</v>
      </c>
      <c r="E7" s="7">
        <f>B7*99.8/100</f>
        <v>4.99</v>
      </c>
      <c r="F7" s="7">
        <f>B7*379/100</f>
        <v>18.95</v>
      </c>
      <c r="G7" s="7"/>
      <c r="H7" s="7"/>
      <c r="I7" s="1"/>
    </row>
    <row r="8" spans="1:9" x14ac:dyDescent="0.25">
      <c r="A8" s="2" t="s">
        <v>14</v>
      </c>
      <c r="B8" s="5"/>
      <c r="C8" s="5">
        <f>C4+C5+C6+C7</f>
        <v>7.3639999999999999</v>
      </c>
      <c r="D8" s="5">
        <f t="shared" ref="D8:F8" si="0">D4+D5+D6+D7</f>
        <v>7.5250000000000004</v>
      </c>
      <c r="E8" s="5">
        <f t="shared" si="0"/>
        <v>27.585000000000001</v>
      </c>
      <c r="F8" s="5">
        <f t="shared" si="0"/>
        <v>208.38</v>
      </c>
      <c r="G8" s="5">
        <v>180</v>
      </c>
      <c r="H8" s="5"/>
      <c r="I8" s="1" t="s">
        <v>198</v>
      </c>
    </row>
    <row r="9" spans="1:9" x14ac:dyDescent="0.25">
      <c r="A9" s="2" t="s">
        <v>188</v>
      </c>
      <c r="B9" s="7"/>
      <c r="C9" s="7"/>
      <c r="D9" s="7"/>
      <c r="E9" s="7"/>
      <c r="F9" s="7"/>
      <c r="G9" s="5"/>
      <c r="H9" s="5"/>
      <c r="I9" s="1"/>
    </row>
    <row r="10" spans="1:9" x14ac:dyDescent="0.25">
      <c r="A10" s="1" t="s">
        <v>11</v>
      </c>
      <c r="B10" s="7">
        <v>0.5</v>
      </c>
      <c r="C10" s="7">
        <f>B10*0/100</f>
        <v>0</v>
      </c>
      <c r="D10" s="7">
        <f>B10*0/100</f>
        <v>0</v>
      </c>
      <c r="E10" s="7">
        <f>B10*0/100</f>
        <v>0</v>
      </c>
      <c r="F10" s="7">
        <f>B10*0/100</f>
        <v>0</v>
      </c>
      <c r="G10" s="5"/>
      <c r="H10" s="5"/>
      <c r="I10" s="1"/>
    </row>
    <row r="11" spans="1:9" x14ac:dyDescent="0.25">
      <c r="A11" s="1" t="s">
        <v>9</v>
      </c>
      <c r="B11" s="8">
        <v>7</v>
      </c>
      <c r="C11" s="7">
        <f>B11*0/100</f>
        <v>0</v>
      </c>
      <c r="D11" s="7">
        <f>B11*0/100</f>
        <v>0</v>
      </c>
      <c r="E11" s="7">
        <f>B11*99.8/100</f>
        <v>6.9860000000000007</v>
      </c>
      <c r="F11" s="7">
        <f>B11*379/100</f>
        <v>26.53</v>
      </c>
      <c r="G11" s="5">
        <v>180</v>
      </c>
      <c r="H11" s="5"/>
      <c r="I11" s="1" t="s">
        <v>199</v>
      </c>
    </row>
    <row r="12" spans="1:9" x14ac:dyDescent="0.25">
      <c r="A12" s="1"/>
      <c r="B12" s="7"/>
      <c r="C12" s="7"/>
      <c r="D12" s="7"/>
      <c r="E12" s="7"/>
      <c r="F12" s="7"/>
      <c r="G12" s="5"/>
      <c r="H12" s="5"/>
      <c r="I12" s="1"/>
    </row>
    <row r="13" spans="1:9" x14ac:dyDescent="0.25">
      <c r="A13" s="1" t="s">
        <v>12</v>
      </c>
      <c r="B13" s="8">
        <v>60</v>
      </c>
      <c r="C13" s="7">
        <f>B13*7.7/100</f>
        <v>4.62</v>
      </c>
      <c r="D13" s="7">
        <f>B13*3/100</f>
        <v>1.8</v>
      </c>
      <c r="E13" s="7">
        <f>B13*49.8/100</f>
        <v>29.88</v>
      </c>
      <c r="F13" s="7">
        <f>B13*262/100</f>
        <v>157.19999999999999</v>
      </c>
      <c r="G13" s="5">
        <v>60</v>
      </c>
      <c r="H13" s="5"/>
      <c r="I13" s="1"/>
    </row>
    <row r="14" spans="1:9" x14ac:dyDescent="0.25">
      <c r="A14" s="1"/>
      <c r="B14" s="7"/>
      <c r="C14" s="7"/>
      <c r="D14" s="7"/>
      <c r="E14" s="7"/>
      <c r="F14" s="7"/>
      <c r="G14" s="5"/>
      <c r="H14" s="5"/>
      <c r="I14" s="1"/>
    </row>
    <row r="15" spans="1:9" x14ac:dyDescent="0.25">
      <c r="A15" s="1" t="s">
        <v>8</v>
      </c>
      <c r="B15" s="7">
        <v>8</v>
      </c>
      <c r="C15" s="7">
        <f>B15*0.7/100</f>
        <v>5.5999999999999994E-2</v>
      </c>
      <c r="D15" s="7">
        <f>B15*72.5/100</f>
        <v>5.8</v>
      </c>
      <c r="E15" s="7">
        <f>B15*1/100</f>
        <v>0.08</v>
      </c>
      <c r="F15" s="7">
        <f>B15*709/100</f>
        <v>56.72</v>
      </c>
      <c r="G15" s="5">
        <v>8</v>
      </c>
      <c r="H15" s="5"/>
      <c r="I15" s="1"/>
    </row>
    <row r="16" spans="1:9" x14ac:dyDescent="0.25">
      <c r="A16" s="1"/>
      <c r="B16" s="7"/>
      <c r="C16" s="7">
        <f t="shared" ref="C16:C19" si="1">B16*12.6/100</f>
        <v>0</v>
      </c>
      <c r="D16" s="7">
        <f t="shared" ref="D16:D50" si="2">B16*3.3/100</f>
        <v>0</v>
      </c>
      <c r="E16" s="7">
        <f t="shared" ref="E16:E44" si="3">B16*62.1/100</f>
        <v>0</v>
      </c>
      <c r="F16" s="7">
        <f t="shared" ref="F16:F19" si="4">B16*335/100</f>
        <v>0</v>
      </c>
      <c r="G16" s="5"/>
      <c r="H16" s="5"/>
      <c r="I16" s="1"/>
    </row>
    <row r="17" spans="1:9" x14ac:dyDescent="0.25">
      <c r="A17" s="2" t="s">
        <v>13</v>
      </c>
      <c r="B17" s="8">
        <v>15</v>
      </c>
      <c r="C17" s="7">
        <f>B17*23/100</f>
        <v>3.45</v>
      </c>
      <c r="D17" s="7">
        <f>B17*29/100</f>
        <v>4.3499999999999996</v>
      </c>
      <c r="E17" s="7">
        <f>B17*0/100</f>
        <v>0</v>
      </c>
      <c r="F17" s="7">
        <f>B17*360/100</f>
        <v>54</v>
      </c>
      <c r="G17" s="5">
        <v>15</v>
      </c>
      <c r="H17" s="5"/>
      <c r="I17" s="1" t="s">
        <v>200</v>
      </c>
    </row>
    <row r="18" spans="1:9" x14ac:dyDescent="0.25">
      <c r="A18" s="2" t="s">
        <v>118</v>
      </c>
      <c r="B18" s="5"/>
      <c r="C18" s="5">
        <f>C8+C13+C15+C17</f>
        <v>15.489999999999998</v>
      </c>
      <c r="D18" s="5">
        <f>D8+D13+D15+D17</f>
        <v>19.475000000000001</v>
      </c>
      <c r="E18" s="5">
        <f>E8+E11+E13+E15</f>
        <v>64.530999999999992</v>
      </c>
      <c r="F18" s="5">
        <f>F8+F11+F13+F15+F17</f>
        <v>502.83000000000004</v>
      </c>
      <c r="G18" s="5">
        <v>443</v>
      </c>
      <c r="H18" s="5"/>
      <c r="I18" s="1"/>
    </row>
    <row r="19" spans="1:9" x14ac:dyDescent="0.25">
      <c r="A19" s="1"/>
      <c r="B19" s="7"/>
      <c r="C19" s="7">
        <f t="shared" si="1"/>
        <v>0</v>
      </c>
      <c r="D19" s="7">
        <f t="shared" si="2"/>
        <v>0</v>
      </c>
      <c r="E19" s="7">
        <f t="shared" si="3"/>
        <v>0</v>
      </c>
      <c r="F19" s="7">
        <f t="shared" si="4"/>
        <v>0</v>
      </c>
      <c r="G19" s="7"/>
      <c r="H19" s="7"/>
      <c r="I19" s="1"/>
    </row>
    <row r="20" spans="1:9" x14ac:dyDescent="0.25">
      <c r="A20" s="2" t="s">
        <v>276</v>
      </c>
      <c r="B20" s="5">
        <v>120</v>
      </c>
      <c r="C20" s="5">
        <f>B20*0.4/100</f>
        <v>0.48</v>
      </c>
      <c r="D20" s="5">
        <f>B20*0.4/100</f>
        <v>0.48</v>
      </c>
      <c r="E20" s="5">
        <f>B20*9.8/100</f>
        <v>11.76</v>
      </c>
      <c r="F20" s="5">
        <f>B20*45/100</f>
        <v>54</v>
      </c>
      <c r="G20" s="5">
        <v>120</v>
      </c>
      <c r="H20" s="5"/>
      <c r="I20" s="1" t="s">
        <v>201</v>
      </c>
    </row>
    <row r="21" spans="1:9" x14ac:dyDescent="0.25">
      <c r="A21" s="1"/>
      <c r="B21" s="7"/>
      <c r="C21" s="7"/>
      <c r="D21" s="7"/>
      <c r="E21" s="7"/>
      <c r="F21" s="7"/>
      <c r="G21" s="7"/>
      <c r="H21" s="7"/>
      <c r="I21" s="1"/>
    </row>
    <row r="22" spans="1:9" x14ac:dyDescent="0.25">
      <c r="A22" s="2" t="s">
        <v>33</v>
      </c>
      <c r="B22" s="7"/>
      <c r="C22" s="7"/>
      <c r="D22" s="7"/>
      <c r="E22" s="7"/>
      <c r="F22" s="7"/>
      <c r="G22" s="7"/>
      <c r="H22" s="7"/>
      <c r="I22" s="1"/>
    </row>
    <row r="23" spans="1:9" x14ac:dyDescent="0.25">
      <c r="A23" s="2" t="s">
        <v>267</v>
      </c>
      <c r="B23" s="7"/>
      <c r="C23" s="7"/>
      <c r="D23" s="7"/>
      <c r="E23" s="7"/>
      <c r="F23" s="7"/>
      <c r="G23" s="7"/>
      <c r="H23" s="7"/>
      <c r="I23" s="1"/>
    </row>
    <row r="24" spans="1:9" x14ac:dyDescent="0.25">
      <c r="A24" s="1" t="s">
        <v>15</v>
      </c>
      <c r="B24" s="8">
        <v>40</v>
      </c>
      <c r="C24" s="7">
        <f>B24*2/100</f>
        <v>0.8</v>
      </c>
      <c r="D24" s="7">
        <f>B24*0.4/100</f>
        <v>0.16</v>
      </c>
      <c r="E24" s="7">
        <f>B24*17.3/100</f>
        <v>6.92</v>
      </c>
      <c r="F24" s="7">
        <f>B24*80/100</f>
        <v>32</v>
      </c>
      <c r="G24" s="7"/>
      <c r="H24" s="7"/>
      <c r="I24" s="1"/>
    </row>
    <row r="25" spans="1:9" x14ac:dyDescent="0.25">
      <c r="A25" s="1" t="s">
        <v>20</v>
      </c>
      <c r="B25" s="8">
        <v>13</v>
      </c>
      <c r="C25" s="7">
        <f>B25*1.4/100</f>
        <v>0.182</v>
      </c>
      <c r="D25" s="7">
        <f>B25*0/100</f>
        <v>0</v>
      </c>
      <c r="E25" s="7">
        <f>B25*9.1/100</f>
        <v>1.1830000000000001</v>
      </c>
      <c r="F25" s="7">
        <f>B25*41/100</f>
        <v>5.33</v>
      </c>
      <c r="G25" s="7"/>
      <c r="H25" s="7"/>
      <c r="I25" s="1"/>
    </row>
    <row r="26" spans="1:9" x14ac:dyDescent="0.25">
      <c r="A26" s="1" t="s">
        <v>16</v>
      </c>
      <c r="B26" s="8">
        <v>13</v>
      </c>
      <c r="C26" s="7">
        <f>B26*1.3/100</f>
        <v>0.16900000000000001</v>
      </c>
      <c r="D26" s="7">
        <f>B26*0.1/100</f>
        <v>1.3000000000000001E-2</v>
      </c>
      <c r="E26" s="7">
        <f>B26*8.4/100</f>
        <v>1.0920000000000001</v>
      </c>
      <c r="F26" s="7">
        <f>B26*34/100</f>
        <v>4.42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7">
        <f>B27*0.7/100</f>
        <v>1.3999999999999999E-2</v>
      </c>
      <c r="D27" s="7">
        <f>B27*372.5/100</f>
        <v>7.45</v>
      </c>
      <c r="E27" s="7">
        <f>B27*1/100</f>
        <v>0.02</v>
      </c>
      <c r="F27" s="7">
        <f>B27*709/100</f>
        <v>14.18</v>
      </c>
      <c r="G27" s="7"/>
      <c r="H27" s="7"/>
      <c r="I27" s="1"/>
    </row>
    <row r="28" spans="1:9" x14ac:dyDescent="0.25">
      <c r="A28" s="1" t="s">
        <v>17</v>
      </c>
      <c r="B28" s="8">
        <v>9</v>
      </c>
      <c r="C28" s="7">
        <f>B28*10.7/100</f>
        <v>0.96299999999999997</v>
      </c>
      <c r="D28" s="7">
        <f>B28*1.3/100</f>
        <v>0.11700000000000001</v>
      </c>
      <c r="E28" s="7">
        <f>B28*68.4/100</f>
        <v>6.1560000000000006</v>
      </c>
      <c r="F28" s="7">
        <f>B28*335/100</f>
        <v>30.15</v>
      </c>
      <c r="G28" s="7"/>
      <c r="H28" s="7"/>
      <c r="I28" s="1"/>
    </row>
    <row r="29" spans="1:9" x14ac:dyDescent="0.25">
      <c r="A29" s="1" t="s">
        <v>266</v>
      </c>
      <c r="B29" s="7">
        <v>20</v>
      </c>
      <c r="C29" s="7">
        <f>B29*18.2/100</f>
        <v>3.64</v>
      </c>
      <c r="D29" s="7">
        <f>B29*18.4/100</f>
        <v>3.68</v>
      </c>
      <c r="E29" s="7">
        <f>B29*0.7/100</f>
        <v>0.14000000000000001</v>
      </c>
      <c r="F29" s="7">
        <f>B29*241/100</f>
        <v>48.2</v>
      </c>
      <c r="G29" s="5"/>
      <c r="H29" s="5"/>
      <c r="I29" s="1"/>
    </row>
    <row r="30" spans="1:9" x14ac:dyDescent="0.25">
      <c r="A30" s="2" t="s">
        <v>14</v>
      </c>
      <c r="B30" s="5"/>
      <c r="C30" s="5">
        <f>C24+C25+C26+C27+C28+C29</f>
        <v>5.7680000000000007</v>
      </c>
      <c r="D30" s="5">
        <f>D24+D25+D26+D27+D28+D29</f>
        <v>11.42</v>
      </c>
      <c r="E30" s="5">
        <f>E24+E25+E26+E27+E28+E29</f>
        <v>15.511000000000001</v>
      </c>
      <c r="F30" s="5">
        <f>F24+F25+F26+F27+F28+F29</f>
        <v>134.28</v>
      </c>
      <c r="G30" s="5">
        <v>180</v>
      </c>
      <c r="H30" s="7"/>
      <c r="I30" s="1" t="s">
        <v>202</v>
      </c>
    </row>
    <row r="31" spans="1:9" x14ac:dyDescent="0.25">
      <c r="A31" s="2" t="s">
        <v>24</v>
      </c>
      <c r="B31" s="7"/>
      <c r="C31" s="7"/>
      <c r="D31" s="7"/>
      <c r="E31" s="7"/>
      <c r="F31" s="7"/>
      <c r="G31" s="7"/>
      <c r="H31" s="7"/>
      <c r="I31" s="1"/>
    </row>
    <row r="32" spans="1:9" x14ac:dyDescent="0.25">
      <c r="A32" s="1" t="s">
        <v>19</v>
      </c>
      <c r="B32" s="8">
        <v>60</v>
      </c>
      <c r="C32" s="7">
        <f>B32*18.2/100</f>
        <v>10.92</v>
      </c>
      <c r="D32" s="7">
        <f>B32*18.4/100</f>
        <v>11.04</v>
      </c>
      <c r="E32" s="7">
        <f>B32*0.7/100</f>
        <v>0.42</v>
      </c>
      <c r="F32" s="7">
        <f>B32*241/100</f>
        <v>144.6</v>
      </c>
      <c r="G32" s="7"/>
      <c r="H32" s="7"/>
      <c r="I32" s="1"/>
    </row>
    <row r="33" spans="1:9" x14ac:dyDescent="0.25">
      <c r="A33" s="1" t="s">
        <v>20</v>
      </c>
      <c r="B33" s="8">
        <v>13</v>
      </c>
      <c r="C33" s="7">
        <f>B33*1.4/100</f>
        <v>0.182</v>
      </c>
      <c r="D33" s="7">
        <f>B33*0/100</f>
        <v>0</v>
      </c>
      <c r="E33" s="7">
        <f>B33*9.1/100</f>
        <v>1.1830000000000001</v>
      </c>
      <c r="F33" s="7">
        <f>B33*41/100</f>
        <v>5.33</v>
      </c>
      <c r="G33" s="7"/>
      <c r="H33" s="7"/>
      <c r="I33" s="1"/>
    </row>
    <row r="34" spans="1:9" x14ac:dyDescent="0.25">
      <c r="A34" s="1" t="s">
        <v>21</v>
      </c>
      <c r="B34" s="8">
        <v>5</v>
      </c>
      <c r="C34" s="7">
        <f>B34*12.7/40</f>
        <v>1.5874999999999999</v>
      </c>
      <c r="D34" s="7">
        <f>B34*11.5/40</f>
        <v>1.4375</v>
      </c>
      <c r="E34" s="7">
        <f>B34*0.7/40</f>
        <v>8.7499999999999994E-2</v>
      </c>
      <c r="F34" s="7">
        <f>B34*157/40</f>
        <v>19.625</v>
      </c>
      <c r="G34" s="7"/>
      <c r="H34" s="7"/>
      <c r="I34" s="1"/>
    </row>
    <row r="35" spans="1:9" x14ac:dyDescent="0.25">
      <c r="A35" s="1" t="s">
        <v>12</v>
      </c>
      <c r="B35" s="7">
        <v>10</v>
      </c>
      <c r="C35" s="7">
        <f>B35*7.7/100</f>
        <v>0.77</v>
      </c>
      <c r="D35" s="7">
        <f>B35*3/100</f>
        <v>0.3</v>
      </c>
      <c r="E35" s="7">
        <f>B35*49.8/100</f>
        <v>4.9800000000000004</v>
      </c>
      <c r="F35" s="7">
        <f>B35*262/100</f>
        <v>26.2</v>
      </c>
      <c r="G35" s="7"/>
      <c r="H35" s="7"/>
      <c r="I35" s="1"/>
    </row>
    <row r="36" spans="1:9" x14ac:dyDescent="0.25">
      <c r="A36" s="1" t="s">
        <v>57</v>
      </c>
      <c r="B36" s="7">
        <v>3</v>
      </c>
      <c r="C36" s="7">
        <f>B36*0/100</f>
        <v>0</v>
      </c>
      <c r="D36" s="7">
        <f>B36*99.9/100</f>
        <v>2.9970000000000003</v>
      </c>
      <c r="E36" s="7">
        <f>B36*0/100</f>
        <v>0</v>
      </c>
      <c r="F36" s="7">
        <f>B36*899/100</f>
        <v>26.97</v>
      </c>
      <c r="G36" s="7"/>
      <c r="H36" s="7"/>
      <c r="I36" s="1"/>
    </row>
    <row r="37" spans="1:9" x14ac:dyDescent="0.25">
      <c r="A37" s="2" t="s">
        <v>14</v>
      </c>
      <c r="B37" s="5"/>
      <c r="C37" s="5">
        <f>C32+C33+C34+C35</f>
        <v>13.4595</v>
      </c>
      <c r="D37" s="5">
        <f>(D32+D33+D34+D35+D36)</f>
        <v>15.7745</v>
      </c>
      <c r="E37" s="5">
        <f>E32+E33+E34+E35</f>
        <v>6.6705000000000005</v>
      </c>
      <c r="F37" s="5">
        <f>(F32+F33+F34+F35+F36)</f>
        <v>222.72499999999999</v>
      </c>
      <c r="G37" s="5">
        <v>65</v>
      </c>
      <c r="H37" s="5"/>
      <c r="I37" s="1" t="s">
        <v>203</v>
      </c>
    </row>
    <row r="38" spans="1:9" x14ac:dyDescent="0.25">
      <c r="A38" s="2" t="s">
        <v>23</v>
      </c>
      <c r="B38" s="7"/>
      <c r="C38" s="7"/>
      <c r="D38" s="7"/>
      <c r="E38" s="7"/>
      <c r="F38" s="7"/>
      <c r="G38" s="7"/>
      <c r="H38" s="7"/>
      <c r="I38" s="1"/>
    </row>
    <row r="39" spans="1:9" x14ac:dyDescent="0.25">
      <c r="A39" s="1" t="s">
        <v>15</v>
      </c>
      <c r="B39" s="8">
        <v>50</v>
      </c>
      <c r="C39" s="7">
        <f>B39*2/100</f>
        <v>1</v>
      </c>
      <c r="D39" s="7">
        <f>B39*0.4/100</f>
        <v>0.2</v>
      </c>
      <c r="E39" s="7">
        <f>B39*17.3/100</f>
        <v>8.65</v>
      </c>
      <c r="F39" s="7">
        <f>B39*80/100</f>
        <v>40</v>
      </c>
      <c r="G39" s="7"/>
      <c r="H39" s="7"/>
      <c r="I39" s="1"/>
    </row>
    <row r="40" spans="1:9" x14ac:dyDescent="0.25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7"/>
      <c r="I40" s="1"/>
    </row>
    <row r="41" spans="1:9" x14ac:dyDescent="0.25">
      <c r="A41" s="1" t="s">
        <v>20</v>
      </c>
      <c r="B41" s="8">
        <v>13</v>
      </c>
      <c r="C41" s="7">
        <f>B41*1.4/100</f>
        <v>0.182</v>
      </c>
      <c r="D41" s="7">
        <f>B41*0/100</f>
        <v>0</v>
      </c>
      <c r="E41" s="7">
        <f>B41*9.1/100</f>
        <v>1.1830000000000001</v>
      </c>
      <c r="F41" s="7">
        <f>B41*41/100</f>
        <v>5.33</v>
      </c>
      <c r="G41" s="7"/>
      <c r="H41" s="7"/>
      <c r="I41" s="1"/>
    </row>
    <row r="42" spans="1:9" x14ac:dyDescent="0.25">
      <c r="A42" s="1" t="s">
        <v>16</v>
      </c>
      <c r="B42" s="8">
        <v>13</v>
      </c>
      <c r="C42" s="7">
        <f>B42*1.3/100</f>
        <v>0.16900000000000001</v>
      </c>
      <c r="D42" s="7">
        <f>B42*0.1/100</f>
        <v>1.3000000000000001E-2</v>
      </c>
      <c r="E42" s="7">
        <f>B42*8.4/100</f>
        <v>1.0920000000000001</v>
      </c>
      <c r="F42" s="7">
        <f>B42*34/100</f>
        <v>4.42</v>
      </c>
      <c r="G42" s="7"/>
      <c r="H42" s="7"/>
      <c r="I42" s="1"/>
    </row>
    <row r="43" spans="1:9" x14ac:dyDescent="0.25">
      <c r="A43" s="1" t="s">
        <v>177</v>
      </c>
      <c r="B43" s="8">
        <v>20</v>
      </c>
      <c r="C43" s="7">
        <f>B43*3.2/100</f>
        <v>0.64</v>
      </c>
      <c r="D43" s="7">
        <f>B43*0.2/100</f>
        <v>0.04</v>
      </c>
      <c r="E43" s="7">
        <f>B43*6.5/100</f>
        <v>1.3</v>
      </c>
      <c r="F43" s="7">
        <f>B43*40/100</f>
        <v>8</v>
      </c>
      <c r="G43" s="7"/>
      <c r="H43" s="7"/>
      <c r="I43" s="1"/>
    </row>
    <row r="44" spans="1:9" x14ac:dyDescent="0.25">
      <c r="A44" s="1" t="s">
        <v>28</v>
      </c>
      <c r="B44" s="8">
        <v>6</v>
      </c>
      <c r="C44" s="7">
        <f>B44*4.8/100</f>
        <v>0.28799999999999998</v>
      </c>
      <c r="D44" s="7">
        <f t="shared" si="2"/>
        <v>0.19799999999999998</v>
      </c>
      <c r="E44" s="7">
        <f t="shared" si="3"/>
        <v>3.7260000000000004</v>
      </c>
      <c r="F44" s="7">
        <f>B44*99/100</f>
        <v>5.94</v>
      </c>
      <c r="G44" s="7"/>
      <c r="H44" s="7"/>
      <c r="I44" s="1"/>
    </row>
    <row r="45" spans="1:9" x14ac:dyDescent="0.25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110</v>
      </c>
      <c r="H45" s="5"/>
      <c r="I45" s="1" t="s">
        <v>204</v>
      </c>
    </row>
    <row r="46" spans="1:9" x14ac:dyDescent="0.25">
      <c r="A46" s="2" t="s">
        <v>14</v>
      </c>
      <c r="B46" s="5"/>
      <c r="C46" s="5">
        <f>C39+C40+C41+C42+C43+C44+C45</f>
        <v>3.0129999999999995</v>
      </c>
      <c r="D46" s="5">
        <f>D39+D40+D41+D42+D43+D44+D45</f>
        <v>1.9409999999999998</v>
      </c>
      <c r="E46" s="5">
        <f>E39+E40+E41+E42+E43+E44+E45</f>
        <v>17.851000000000003</v>
      </c>
      <c r="F46" s="5">
        <f>F39+F40+F41+F42+F43+F44+F45</f>
        <v>88.669999999999987</v>
      </c>
      <c r="G46" s="7"/>
      <c r="H46" s="7"/>
      <c r="I46" s="1"/>
    </row>
    <row r="47" spans="1:9" x14ac:dyDescent="0.25">
      <c r="A47" s="2" t="s">
        <v>29</v>
      </c>
      <c r="B47" s="7"/>
      <c r="C47" s="7"/>
      <c r="D47" s="7"/>
      <c r="E47" s="7"/>
      <c r="F47" s="7"/>
      <c r="G47" s="7"/>
      <c r="H47" s="7"/>
      <c r="I47" s="1"/>
    </row>
    <row r="48" spans="1:9" x14ac:dyDescent="0.25">
      <c r="A48" s="1" t="s">
        <v>30</v>
      </c>
      <c r="B48" s="8">
        <v>10</v>
      </c>
      <c r="C48" s="7">
        <f>B48*3.4/100</f>
        <v>0.34</v>
      </c>
      <c r="D48" s="7">
        <f>B48*0/100</f>
        <v>0</v>
      </c>
      <c r="E48" s="7">
        <f>B48*21.5/100</f>
        <v>2.15</v>
      </c>
      <c r="F48" s="7">
        <f>B48*110/100</f>
        <v>11</v>
      </c>
      <c r="G48" s="7"/>
      <c r="H48" s="7"/>
      <c r="I48" s="1"/>
    </row>
    <row r="49" spans="1:9" x14ac:dyDescent="0.25">
      <c r="A49" s="1" t="s">
        <v>9</v>
      </c>
      <c r="B49" s="8">
        <v>7</v>
      </c>
      <c r="C49" s="7">
        <f>B49*0/100</f>
        <v>0</v>
      </c>
      <c r="D49" s="7">
        <f>B49*0/100</f>
        <v>0</v>
      </c>
      <c r="E49" s="7">
        <f>B49*99.8/100</f>
        <v>6.9860000000000007</v>
      </c>
      <c r="F49" s="7">
        <f>B49*379/100</f>
        <v>26.53</v>
      </c>
      <c r="G49" s="7"/>
      <c r="H49" s="7"/>
      <c r="I49" s="1"/>
    </row>
    <row r="50" spans="1:9" x14ac:dyDescent="0.25">
      <c r="A50" s="2" t="s">
        <v>14</v>
      </c>
      <c r="B50" s="5"/>
      <c r="C50" s="5">
        <f>C48+C49</f>
        <v>0.34</v>
      </c>
      <c r="D50" s="5">
        <f t="shared" si="2"/>
        <v>0</v>
      </c>
      <c r="E50" s="5">
        <f>E48+E49</f>
        <v>9.136000000000001</v>
      </c>
      <c r="F50" s="5">
        <f>F48+F49</f>
        <v>37.53</v>
      </c>
      <c r="G50" s="5">
        <v>180</v>
      </c>
      <c r="H50" s="5"/>
      <c r="I50" s="1" t="s">
        <v>205</v>
      </c>
    </row>
    <row r="51" spans="1:9" x14ac:dyDescent="0.25">
      <c r="A51" s="1" t="s">
        <v>32</v>
      </c>
      <c r="B51" s="8">
        <v>37</v>
      </c>
      <c r="C51" s="7">
        <f>B51*6.6/100</f>
        <v>2.4419999999999997</v>
      </c>
      <c r="D51" s="7">
        <f>B51*1.2/100</f>
        <v>0.44400000000000001</v>
      </c>
      <c r="E51" s="7">
        <f>B51*34.2/100</f>
        <v>12.654000000000002</v>
      </c>
      <c r="F51" s="7">
        <f>B51*181/100</f>
        <v>66.97</v>
      </c>
      <c r="G51" s="5">
        <v>37</v>
      </c>
      <c r="H51" s="5"/>
      <c r="I51" s="1"/>
    </row>
    <row r="52" spans="1:9" x14ac:dyDescent="0.25">
      <c r="A52" s="2" t="s">
        <v>14</v>
      </c>
      <c r="B52" s="5"/>
      <c r="C52" s="5">
        <f>C51</f>
        <v>2.4419999999999997</v>
      </c>
      <c r="D52" s="5">
        <f>D51</f>
        <v>0.44400000000000001</v>
      </c>
      <c r="E52" s="5">
        <f>E51</f>
        <v>12.654000000000002</v>
      </c>
      <c r="F52" s="5">
        <f>F51</f>
        <v>66.97</v>
      </c>
      <c r="G52" s="7"/>
      <c r="H52" s="7"/>
      <c r="I52" s="1"/>
    </row>
    <row r="53" spans="1:9" x14ac:dyDescent="0.25">
      <c r="A53" s="2" t="s">
        <v>49</v>
      </c>
      <c r="B53" s="9">
        <v>60</v>
      </c>
      <c r="C53" s="13">
        <f>B53*1.1/100</f>
        <v>0.66</v>
      </c>
      <c r="D53" s="5">
        <f>B53*0.2/100</f>
        <v>0.12</v>
      </c>
      <c r="E53" s="5">
        <f>B53*3.8/100</f>
        <v>2.2799999999999998</v>
      </c>
      <c r="F53" s="5">
        <f>B53*23/100</f>
        <v>13.8</v>
      </c>
      <c r="G53" s="5">
        <v>60</v>
      </c>
      <c r="H53" s="5"/>
      <c r="I53" s="1" t="s">
        <v>206</v>
      </c>
    </row>
    <row r="54" spans="1:9" ht="20.25" customHeight="1" x14ac:dyDescent="0.25">
      <c r="A54" s="2" t="s">
        <v>76</v>
      </c>
      <c r="B54" s="5"/>
      <c r="C54" s="13">
        <f>C30+C37+C46+C50+C52+C53</f>
        <v>25.682499999999997</v>
      </c>
      <c r="D54" s="5">
        <f>D30+D37+D46+D52+D53</f>
        <v>29.699499999999997</v>
      </c>
      <c r="E54" s="5">
        <f>E30+E37+E46+E50+E52+E53</f>
        <v>64.102500000000006</v>
      </c>
      <c r="F54" s="5">
        <f>F30+F37+F46+F52+F53</f>
        <v>526.44499999999994</v>
      </c>
      <c r="G54" s="5">
        <v>632</v>
      </c>
      <c r="H54" s="7"/>
      <c r="I54" s="1"/>
    </row>
    <row r="55" spans="1:9" x14ac:dyDescent="0.25">
      <c r="A55" s="1" t="s">
        <v>196</v>
      </c>
      <c r="B55" s="7">
        <v>3.75</v>
      </c>
      <c r="C55" s="18"/>
      <c r="D55" s="7"/>
      <c r="E55" s="7"/>
      <c r="F55" s="7"/>
      <c r="G55" s="5"/>
      <c r="H55" s="5"/>
      <c r="I55" s="1"/>
    </row>
    <row r="56" spans="1:9" ht="21" customHeight="1" x14ac:dyDescent="0.25">
      <c r="A56" s="22" t="s">
        <v>277</v>
      </c>
      <c r="B56" s="16"/>
      <c r="C56" s="16"/>
      <c r="D56" s="16"/>
      <c r="E56" s="16"/>
      <c r="F56" s="16"/>
      <c r="G56" s="5"/>
      <c r="H56" s="5"/>
      <c r="I56" s="1"/>
    </row>
    <row r="57" spans="1:9" s="20" customFormat="1" ht="19.5" customHeight="1" x14ac:dyDescent="0.25">
      <c r="A57" s="2" t="s">
        <v>278</v>
      </c>
      <c r="B57" s="10"/>
      <c r="C57" s="5"/>
      <c r="D57" s="5"/>
      <c r="E57" s="5"/>
      <c r="F57" s="5"/>
      <c r="G57" s="5"/>
      <c r="H57" s="5"/>
      <c r="I57" s="2"/>
    </row>
    <row r="58" spans="1:9" ht="18.75" customHeight="1" x14ac:dyDescent="0.25">
      <c r="A58" s="1" t="s">
        <v>7</v>
      </c>
      <c r="B58" s="7">
        <v>145</v>
      </c>
      <c r="C58" s="10">
        <f>B58*2.8/100</f>
        <v>4.0599999999999996</v>
      </c>
      <c r="D58" s="10">
        <f>B58*3.5/100</f>
        <v>5.0750000000000002</v>
      </c>
      <c r="E58" s="10">
        <f>B58*4.7/100</f>
        <v>6.8150000000000004</v>
      </c>
      <c r="F58" s="10">
        <f>B58*61/100</f>
        <v>88.45</v>
      </c>
      <c r="G58" s="5"/>
      <c r="H58" s="5"/>
      <c r="I58" s="2"/>
    </row>
    <row r="59" spans="1:9" ht="18.75" customHeight="1" x14ac:dyDescent="0.25">
      <c r="A59" s="1" t="s">
        <v>89</v>
      </c>
      <c r="B59" s="8">
        <v>1</v>
      </c>
      <c r="C59" s="10">
        <f>B59*24.2/100</f>
        <v>0.24199999999999999</v>
      </c>
      <c r="D59" s="10">
        <f>B59*17.5/100</f>
        <v>0.17499999999999999</v>
      </c>
      <c r="E59" s="10">
        <f>B59*27.9/100</f>
        <v>0.27899999999999997</v>
      </c>
      <c r="F59" s="10">
        <f>B59*373/100</f>
        <v>3.73</v>
      </c>
      <c r="G59" s="5"/>
      <c r="H59" s="5"/>
      <c r="I59" s="2"/>
    </row>
    <row r="60" spans="1:9" ht="18.75" customHeight="1" x14ac:dyDescent="0.25">
      <c r="A60" s="3" t="s">
        <v>9</v>
      </c>
      <c r="B60" s="11">
        <v>5</v>
      </c>
      <c r="C60" s="10">
        <f>B60*0/100</f>
        <v>0</v>
      </c>
      <c r="D60" s="10">
        <f>B60*0/100</f>
        <v>0</v>
      </c>
      <c r="E60" s="10">
        <f t="shared" ref="E60" si="5">B60*99.8/100</f>
        <v>4.99</v>
      </c>
      <c r="F60" s="10">
        <f t="shared" ref="F60" si="6">B60*379/100</f>
        <v>18.95</v>
      </c>
      <c r="G60" s="5"/>
      <c r="H60" s="5"/>
      <c r="I60" s="2"/>
    </row>
    <row r="61" spans="1:9" ht="18.75" customHeight="1" x14ac:dyDescent="0.25">
      <c r="A61" s="2" t="s">
        <v>14</v>
      </c>
      <c r="B61" s="10"/>
      <c r="C61" s="5">
        <f>C58+C59+C60</f>
        <v>4.3019999999999996</v>
      </c>
      <c r="D61" s="5">
        <f>D58+D59+D60</f>
        <v>5.25</v>
      </c>
      <c r="E61" s="5">
        <f>E58+E59+E60</f>
        <v>12.084</v>
      </c>
      <c r="F61" s="5">
        <f>F58+F59+F60</f>
        <v>111.13000000000001</v>
      </c>
      <c r="G61" s="5">
        <v>180</v>
      </c>
      <c r="H61" s="5"/>
      <c r="I61" s="2" t="s">
        <v>217</v>
      </c>
    </row>
    <row r="62" spans="1:9" ht="18.75" customHeight="1" x14ac:dyDescent="0.25">
      <c r="A62" s="2" t="s">
        <v>279</v>
      </c>
      <c r="B62" s="10"/>
      <c r="C62" s="5"/>
      <c r="D62" s="5"/>
      <c r="E62" s="5"/>
      <c r="F62" s="5"/>
      <c r="G62" s="5"/>
      <c r="H62" s="5"/>
      <c r="I62" s="2"/>
    </row>
    <row r="63" spans="1:9" ht="18.75" customHeight="1" x14ac:dyDescent="0.25">
      <c r="A63" s="3" t="s">
        <v>70</v>
      </c>
      <c r="B63" s="8">
        <v>40</v>
      </c>
      <c r="C63" s="7">
        <f>B63*10.3/100</f>
        <v>4.12</v>
      </c>
      <c r="D63" s="7">
        <f>B63*1.1/100</f>
        <v>0.44</v>
      </c>
      <c r="E63" s="7">
        <f>B63*69/100</f>
        <v>27.6</v>
      </c>
      <c r="F63" s="7">
        <f>B63*334/100</f>
        <v>133.6</v>
      </c>
      <c r="G63" s="5"/>
      <c r="H63" s="5"/>
      <c r="I63" s="2"/>
    </row>
    <row r="64" spans="1:9" ht="18.75" customHeight="1" x14ac:dyDescent="0.25">
      <c r="A64" s="3" t="s">
        <v>7</v>
      </c>
      <c r="B64" s="7">
        <v>35</v>
      </c>
      <c r="C64" s="7">
        <f>B64*2.8/100</f>
        <v>0.98</v>
      </c>
      <c r="D64" s="7">
        <f>B64*3.5/100</f>
        <v>1.2250000000000001</v>
      </c>
      <c r="E64" s="7">
        <f>B64*4.7/100</f>
        <v>1.645</v>
      </c>
      <c r="F64" s="7">
        <f>B64*61/100</f>
        <v>21.35</v>
      </c>
      <c r="G64" s="7"/>
      <c r="H64" s="7"/>
      <c r="I64" s="1"/>
    </row>
    <row r="65" spans="1:9" ht="18.75" customHeight="1" x14ac:dyDescent="0.25">
      <c r="A65" s="3" t="s">
        <v>8</v>
      </c>
      <c r="B65" s="8">
        <v>2</v>
      </c>
      <c r="C65" s="7">
        <f>B65*0.7/100</f>
        <v>1.3999999999999999E-2</v>
      </c>
      <c r="D65" s="7">
        <f>B65*372.5/100</f>
        <v>7.45</v>
      </c>
      <c r="E65" s="7">
        <f>B65*1/100</f>
        <v>0.02</v>
      </c>
      <c r="F65" s="7">
        <f>B65*709/100</f>
        <v>14.18</v>
      </c>
      <c r="G65" s="7"/>
      <c r="H65" s="7"/>
      <c r="I65" s="1"/>
    </row>
    <row r="66" spans="1:9" ht="18.75" customHeight="1" x14ac:dyDescent="0.25">
      <c r="A66" s="3" t="s">
        <v>57</v>
      </c>
      <c r="B66" s="7">
        <v>3</v>
      </c>
      <c r="C66" s="7">
        <f>B66*0/100</f>
        <v>0</v>
      </c>
      <c r="D66" s="7">
        <f>B66*99.9/100</f>
        <v>2.9970000000000003</v>
      </c>
      <c r="E66" s="7">
        <f>B66*0/100</f>
        <v>0</v>
      </c>
      <c r="F66" s="7">
        <f>B66*899/100</f>
        <v>26.97</v>
      </c>
      <c r="G66" s="7"/>
      <c r="H66" s="7"/>
      <c r="I66" s="1"/>
    </row>
    <row r="67" spans="1:9" ht="18.75" customHeight="1" x14ac:dyDescent="0.25">
      <c r="A67" s="3" t="s">
        <v>9</v>
      </c>
      <c r="B67" s="8">
        <v>8</v>
      </c>
      <c r="C67" s="7">
        <f>B67*0/100</f>
        <v>0</v>
      </c>
      <c r="D67" s="7">
        <f>B67*0/100</f>
        <v>0</v>
      </c>
      <c r="E67" s="7">
        <f>B67*99.8/100</f>
        <v>7.984</v>
      </c>
      <c r="F67" s="7">
        <f>B67*379/100</f>
        <v>30.32</v>
      </c>
      <c r="G67" s="7"/>
      <c r="H67" s="7"/>
      <c r="I67" s="1"/>
    </row>
    <row r="68" spans="1:9" ht="18.75" customHeight="1" x14ac:dyDescent="0.25">
      <c r="A68" s="3" t="s">
        <v>280</v>
      </c>
      <c r="B68" s="10">
        <v>1.2</v>
      </c>
      <c r="C68" s="10">
        <v>0</v>
      </c>
      <c r="D68" s="10">
        <v>0</v>
      </c>
      <c r="E68" s="10">
        <v>0</v>
      </c>
      <c r="F68" s="10">
        <v>0</v>
      </c>
      <c r="G68" s="5"/>
      <c r="H68" s="5"/>
      <c r="I68" s="2"/>
    </row>
    <row r="69" spans="1:9" ht="18.75" customHeight="1" x14ac:dyDescent="0.25">
      <c r="A69" s="3" t="s">
        <v>21</v>
      </c>
      <c r="B69" s="8">
        <v>5</v>
      </c>
      <c r="C69" s="7">
        <f>B69*12.7/40</f>
        <v>1.5874999999999999</v>
      </c>
      <c r="D69" s="7">
        <f>B69*11.5/40</f>
        <v>1.4375</v>
      </c>
      <c r="E69" s="7">
        <f>B69*0.7/40</f>
        <v>8.7499999999999994E-2</v>
      </c>
      <c r="F69" s="7">
        <f>B69*157/40</f>
        <v>19.625</v>
      </c>
      <c r="G69" s="7"/>
      <c r="H69" s="7"/>
      <c r="I69" s="1"/>
    </row>
    <row r="70" spans="1:9" ht="18.75" customHeight="1" x14ac:dyDescent="0.25">
      <c r="A70" s="2" t="s">
        <v>14</v>
      </c>
      <c r="B70" s="10"/>
      <c r="C70" s="5">
        <f>C63+C64+C65+C66+C67+C68+C69</f>
        <v>6.7014999999999993</v>
      </c>
      <c r="D70" s="5">
        <f>D63+D64+D65+D66+D67+D68+D69</f>
        <v>13.5495</v>
      </c>
      <c r="E70" s="5">
        <f>E63+E64+E65+E66+E67+E68+E69</f>
        <v>37.336500000000001</v>
      </c>
      <c r="F70" s="5">
        <f>F63+F64+F65+F66+F67+F68+F69</f>
        <v>246.04499999999999</v>
      </c>
      <c r="G70" s="5">
        <v>80</v>
      </c>
      <c r="H70" s="5"/>
      <c r="I70" s="2" t="s">
        <v>284</v>
      </c>
    </row>
    <row r="71" spans="1:9" ht="18.75" customHeight="1" x14ac:dyDescent="0.25">
      <c r="A71" s="2" t="s">
        <v>283</v>
      </c>
      <c r="B71" s="10"/>
      <c r="C71" s="5">
        <f>C61+C70</f>
        <v>11.003499999999999</v>
      </c>
      <c r="D71" s="5">
        <f>D61+D70</f>
        <v>18.799500000000002</v>
      </c>
      <c r="E71" s="5">
        <f>E61+E70</f>
        <v>49.420500000000004</v>
      </c>
      <c r="F71" s="5">
        <f>F61+F70</f>
        <v>357.17500000000001</v>
      </c>
      <c r="G71" s="5">
        <v>260</v>
      </c>
      <c r="H71" s="5"/>
      <c r="I71" s="2"/>
    </row>
    <row r="72" spans="1:9" ht="18.75" customHeight="1" x14ac:dyDescent="0.25">
      <c r="A72" s="2" t="s">
        <v>281</v>
      </c>
      <c r="B72" s="10"/>
      <c r="C72" s="13">
        <f>C18+C20+C54+C61+C70</f>
        <v>52.655999999999992</v>
      </c>
      <c r="D72" s="5">
        <f>D18+D20+D54+D71</f>
        <v>68.454000000000008</v>
      </c>
      <c r="E72" s="5">
        <f>E18+E20+E54+E71</f>
        <v>189.81400000000002</v>
      </c>
      <c r="F72" s="5">
        <f>F18+F20+F54+F71</f>
        <v>1440.45</v>
      </c>
      <c r="G72" s="5"/>
      <c r="H72" s="5"/>
      <c r="I72" s="2"/>
    </row>
    <row r="73" spans="1:9" ht="23.25" customHeight="1" x14ac:dyDescent="0.25">
      <c r="A73" s="2" t="s">
        <v>282</v>
      </c>
      <c r="B73" s="5"/>
      <c r="C73" s="5"/>
      <c r="D73" s="5"/>
      <c r="E73" s="5"/>
      <c r="F73" s="5"/>
      <c r="G73" s="5"/>
      <c r="H73" s="5"/>
      <c r="I73" s="2"/>
    </row>
    <row r="75" spans="1:9" x14ac:dyDescent="0.25">
      <c r="A75" s="27" t="s">
        <v>335</v>
      </c>
    </row>
  </sheetData>
  <pageMargins left="0.43307086614173229" right="0.43307086614173229" top="0.3543307086614173" bottom="0.3543307086614173" header="0.31496062992125984" footer="0.31496062992125984"/>
  <pageSetup paperSize="9" scale="6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workbookViewId="0">
      <selection activeCell="G14" sqref="G14"/>
    </sheetView>
  </sheetViews>
  <sheetFormatPr defaultRowHeight="15" x14ac:dyDescent="0.25"/>
  <cols>
    <col min="1" max="1" width="44.7109375" customWidth="1"/>
    <col min="7" max="7" width="14.7109375" customWidth="1"/>
    <col min="9" max="9" width="13.85546875" customWidth="1"/>
  </cols>
  <sheetData>
    <row r="1" spans="1:9" x14ac:dyDescent="0.25">
      <c r="A1" s="1"/>
      <c r="B1" s="7"/>
      <c r="C1" s="7"/>
      <c r="D1" s="7"/>
      <c r="E1" s="7"/>
      <c r="F1" s="7"/>
      <c r="G1" s="7"/>
      <c r="H1" s="7"/>
      <c r="I1" s="1"/>
    </row>
    <row r="2" spans="1:9" ht="18" customHeight="1" x14ac:dyDescent="0.25">
      <c r="A2" s="3" t="s">
        <v>36</v>
      </c>
      <c r="B2" s="5" t="s">
        <v>269</v>
      </c>
      <c r="C2" s="5" t="s">
        <v>270</v>
      </c>
      <c r="D2" s="5" t="s">
        <v>271</v>
      </c>
      <c r="E2" s="5" t="s">
        <v>272</v>
      </c>
      <c r="F2" s="5" t="s">
        <v>273</v>
      </c>
      <c r="G2" s="5" t="s">
        <v>274</v>
      </c>
      <c r="H2" s="5" t="s">
        <v>142</v>
      </c>
      <c r="I2" s="2" t="s">
        <v>197</v>
      </c>
    </row>
    <row r="3" spans="1:9" x14ac:dyDescent="0.25">
      <c r="A3" s="2" t="s">
        <v>37</v>
      </c>
      <c r="B3" s="7"/>
      <c r="C3" s="7"/>
      <c r="D3" s="7"/>
      <c r="E3" s="7"/>
      <c r="F3" s="7"/>
      <c r="G3" s="7"/>
      <c r="H3" s="7"/>
      <c r="I3" s="1"/>
    </row>
    <row r="4" spans="1:9" x14ac:dyDescent="0.25">
      <c r="A4" s="1" t="s">
        <v>38</v>
      </c>
      <c r="B4" s="8">
        <v>25</v>
      </c>
      <c r="C4" s="7">
        <f>B4*11/100</f>
        <v>2.75</v>
      </c>
      <c r="D4" s="7">
        <f>B4*6.2/100</f>
        <v>1.55</v>
      </c>
      <c r="E4" s="7">
        <f>B4*50.1/100</f>
        <v>12.525</v>
      </c>
      <c r="F4" s="7">
        <f>B4*305/100</f>
        <v>76.25</v>
      </c>
      <c r="G4" s="7"/>
      <c r="H4" s="7"/>
      <c r="I4" s="1"/>
    </row>
    <row r="5" spans="1:9" x14ac:dyDescent="0.25">
      <c r="A5" s="1" t="s">
        <v>7</v>
      </c>
      <c r="B5" s="8">
        <v>150</v>
      </c>
      <c r="C5" s="7">
        <f>B5*2.8/100</f>
        <v>4.2</v>
      </c>
      <c r="D5" s="7">
        <f>B5*3.5/100</f>
        <v>5.25</v>
      </c>
      <c r="E5" s="7">
        <f>B5*4.7/100</f>
        <v>7.05</v>
      </c>
      <c r="F5" s="7">
        <f>B5*61/100</f>
        <v>91.5</v>
      </c>
      <c r="G5" s="7"/>
      <c r="H5" s="7"/>
      <c r="I5" s="1"/>
    </row>
    <row r="6" spans="1:9" x14ac:dyDescent="0.25">
      <c r="A6" s="1" t="s">
        <v>8</v>
      </c>
      <c r="B6" s="8">
        <v>4</v>
      </c>
      <c r="C6" s="7">
        <f>B6*0.7/100</f>
        <v>2.7999999999999997E-2</v>
      </c>
      <c r="D6" s="7">
        <f>B6*72.5/100</f>
        <v>2.9</v>
      </c>
      <c r="E6" s="7">
        <f>B6*1/100</f>
        <v>0.04</v>
      </c>
      <c r="F6" s="7">
        <f>B6*709/100</f>
        <v>28.36</v>
      </c>
      <c r="G6" s="7"/>
      <c r="H6" s="7"/>
      <c r="I6" s="1"/>
    </row>
    <row r="7" spans="1:9" x14ac:dyDescent="0.25">
      <c r="A7" s="1" t="s">
        <v>9</v>
      </c>
      <c r="B7" s="8">
        <v>5</v>
      </c>
      <c r="C7" s="7">
        <f>B7*0/100</f>
        <v>0</v>
      </c>
      <c r="D7" s="7">
        <f>B7*0/100</f>
        <v>0</v>
      </c>
      <c r="E7" s="7">
        <f>B7*99.8/100</f>
        <v>4.99</v>
      </c>
      <c r="F7" s="7">
        <f>B7*379/100</f>
        <v>18.95</v>
      </c>
      <c r="G7" s="7"/>
      <c r="H7" s="7"/>
      <c r="I7" s="1"/>
    </row>
    <row r="8" spans="1:9" x14ac:dyDescent="0.25">
      <c r="A8" s="2" t="s">
        <v>14</v>
      </c>
      <c r="B8" s="5"/>
      <c r="C8" s="5">
        <f>C4+C5+C6</f>
        <v>6.9779999999999998</v>
      </c>
      <c r="D8" s="5">
        <f>D4+D5+D6+D7</f>
        <v>9.6999999999999993</v>
      </c>
      <c r="E8" s="5">
        <f>E4+E5+E6+E7</f>
        <v>24.604999999999997</v>
      </c>
      <c r="F8" s="5">
        <f>F4+F5+F6+F7</f>
        <v>215.06</v>
      </c>
      <c r="G8" s="5">
        <v>180</v>
      </c>
      <c r="H8" s="5"/>
      <c r="I8" s="1" t="s">
        <v>207</v>
      </c>
    </row>
    <row r="9" spans="1:9" x14ac:dyDescent="0.25">
      <c r="A9" s="2" t="s">
        <v>77</v>
      </c>
      <c r="B9" s="7"/>
      <c r="C9" s="7">
        <f t="shared" ref="C9" si="0">B9*12.6/100</f>
        <v>0</v>
      </c>
      <c r="D9" s="7">
        <f t="shared" ref="D9" si="1">B9*3.3/100</f>
        <v>0</v>
      </c>
      <c r="E9" s="7">
        <f t="shared" ref="E9:E40" si="2">B9*1/100</f>
        <v>0</v>
      </c>
      <c r="F9" s="7">
        <f t="shared" ref="F9:F40" si="3">B9*379/100</f>
        <v>0</v>
      </c>
      <c r="G9" s="7"/>
      <c r="H9" s="7"/>
      <c r="I9" s="1"/>
    </row>
    <row r="10" spans="1:9" x14ac:dyDescent="0.25">
      <c r="A10" s="1" t="s">
        <v>39</v>
      </c>
      <c r="B10" s="8">
        <v>1</v>
      </c>
      <c r="C10" s="7">
        <f>B10*24.2/100</f>
        <v>0.24199999999999999</v>
      </c>
      <c r="D10" s="7">
        <f>B10*17.5/100</f>
        <v>0.17499999999999999</v>
      </c>
      <c r="E10" s="7">
        <f>B10*27.9/100</f>
        <v>0.27899999999999997</v>
      </c>
      <c r="F10" s="7">
        <f>B10*373/100</f>
        <v>3.73</v>
      </c>
      <c r="G10" s="7"/>
      <c r="H10" s="7"/>
      <c r="I10" s="1"/>
    </row>
    <row r="11" spans="1:9" x14ac:dyDescent="0.25">
      <c r="A11" s="1" t="s">
        <v>7</v>
      </c>
      <c r="B11" s="8">
        <v>130</v>
      </c>
      <c r="C11" s="7">
        <f>B11*2.8/100</f>
        <v>3.64</v>
      </c>
      <c r="D11" s="7">
        <f>B11*3.5/100</f>
        <v>4.55</v>
      </c>
      <c r="E11" s="7">
        <f>B11*4.7/100</f>
        <v>6.11</v>
      </c>
      <c r="F11" s="7">
        <f>B11*61/100</f>
        <v>79.3</v>
      </c>
      <c r="G11" s="7"/>
      <c r="H11" s="7"/>
      <c r="I11" s="1"/>
    </row>
    <row r="12" spans="1:9" x14ac:dyDescent="0.25">
      <c r="A12" s="1" t="s">
        <v>9</v>
      </c>
      <c r="B12" s="8">
        <v>5</v>
      </c>
      <c r="C12" s="7">
        <f>B12*0/100</f>
        <v>0</v>
      </c>
      <c r="D12" s="7">
        <f>B12*0/100</f>
        <v>0</v>
      </c>
      <c r="E12" s="7">
        <f>B12*199.8/100</f>
        <v>9.99</v>
      </c>
      <c r="F12" s="7">
        <f>B12*379/100</f>
        <v>18.95</v>
      </c>
      <c r="G12" s="5"/>
      <c r="H12" s="5"/>
      <c r="I12" s="1"/>
    </row>
    <row r="13" spans="1:9" ht="19.5" customHeight="1" x14ac:dyDescent="0.25">
      <c r="A13" s="2" t="s">
        <v>14</v>
      </c>
      <c r="B13" s="5"/>
      <c r="C13" s="5">
        <f>C9+C10+C11</f>
        <v>3.8820000000000001</v>
      </c>
      <c r="D13" s="5">
        <f>D10+D11+D12</f>
        <v>4.7249999999999996</v>
      </c>
      <c r="E13" s="5">
        <f>E10+E11+E12</f>
        <v>16.379000000000001</v>
      </c>
      <c r="F13" s="5">
        <f>F10+F11+F12</f>
        <v>101.98</v>
      </c>
      <c r="G13" s="5">
        <v>180</v>
      </c>
      <c r="H13" s="5"/>
      <c r="I13" s="1" t="s">
        <v>208</v>
      </c>
    </row>
    <row r="14" spans="1:9" x14ac:dyDescent="0.25">
      <c r="A14" s="1" t="s">
        <v>40</v>
      </c>
      <c r="B14" s="8">
        <v>60</v>
      </c>
      <c r="C14" s="7">
        <f>B14*7.6/100</f>
        <v>4.5599999999999996</v>
      </c>
      <c r="D14" s="7">
        <f>B14*3/100</f>
        <v>1.8</v>
      </c>
      <c r="E14" s="7">
        <f>B14*49.8/100</f>
        <v>29.88</v>
      </c>
      <c r="F14" s="7">
        <f>B14*262/100</f>
        <v>157.19999999999999</v>
      </c>
      <c r="G14" s="5">
        <v>60</v>
      </c>
      <c r="H14" s="5"/>
      <c r="I14" s="1"/>
    </row>
    <row r="15" spans="1:9" x14ac:dyDescent="0.25">
      <c r="A15" s="1"/>
      <c r="B15" s="7"/>
      <c r="C15" s="7"/>
      <c r="D15" s="7"/>
      <c r="E15" s="7"/>
      <c r="F15" s="7"/>
      <c r="G15" s="5"/>
      <c r="H15" s="5"/>
      <c r="I15" s="1"/>
    </row>
    <row r="16" spans="1:9" x14ac:dyDescent="0.25">
      <c r="A16" s="1" t="s">
        <v>8</v>
      </c>
      <c r="B16" s="8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5"/>
      <c r="I16" s="1"/>
    </row>
    <row r="17" spans="1:9" x14ac:dyDescent="0.25">
      <c r="A17" s="1"/>
      <c r="B17" s="7"/>
      <c r="C17" s="7">
        <f t="shared" ref="C17" si="4">B17*12.6/100</f>
        <v>0</v>
      </c>
      <c r="D17" s="7">
        <f t="shared" ref="D17:D40" si="5">B17*3.3/100</f>
        <v>0</v>
      </c>
      <c r="E17" s="7">
        <f t="shared" si="2"/>
        <v>0</v>
      </c>
      <c r="F17" s="7">
        <f t="shared" si="3"/>
        <v>0</v>
      </c>
      <c r="G17" s="5"/>
      <c r="H17" s="5"/>
      <c r="I17" s="1"/>
    </row>
    <row r="18" spans="1:9" x14ac:dyDescent="0.25">
      <c r="A18" s="2" t="s">
        <v>21</v>
      </c>
      <c r="B18" s="8">
        <v>40</v>
      </c>
      <c r="C18" s="7">
        <f>B18*12.7/1000</f>
        <v>0.50800000000000001</v>
      </c>
      <c r="D18" s="7">
        <f>B18*11.5/100</f>
        <v>4.5999999999999996</v>
      </c>
      <c r="E18" s="7">
        <f>B18*0.7/100</f>
        <v>0.28000000000000003</v>
      </c>
      <c r="F18" s="7">
        <f>B18*157/100</f>
        <v>62.8</v>
      </c>
      <c r="G18" s="5">
        <v>40</v>
      </c>
      <c r="H18" s="5"/>
      <c r="I18" s="1" t="s">
        <v>209</v>
      </c>
    </row>
    <row r="19" spans="1:9" ht="19.5" customHeight="1" x14ac:dyDescent="0.25">
      <c r="A19" s="2" t="s">
        <v>75</v>
      </c>
      <c r="B19" s="5"/>
      <c r="C19" s="5">
        <f>C14+C15+C16+C17+C18</f>
        <v>5.1239999999999997</v>
      </c>
      <c r="D19" s="5">
        <f>D14+D15+D16+D18</f>
        <v>12.2</v>
      </c>
      <c r="E19" s="5">
        <f>E14+E15+E16+E18</f>
        <v>30.24</v>
      </c>
      <c r="F19" s="5">
        <f>F8+F13+F14+F16+F18</f>
        <v>593.76</v>
      </c>
      <c r="G19" s="5">
        <v>468</v>
      </c>
      <c r="H19" s="5"/>
      <c r="I19" s="1"/>
    </row>
    <row r="20" spans="1:9" ht="19.5" customHeight="1" x14ac:dyDescent="0.25">
      <c r="A20" s="2" t="s">
        <v>159</v>
      </c>
      <c r="B20" s="5">
        <v>120</v>
      </c>
      <c r="C20" s="5">
        <f>B20*0.8/100</f>
        <v>0.96</v>
      </c>
      <c r="D20" s="5">
        <f>B20*0.3/100</f>
        <v>0.36</v>
      </c>
      <c r="E20" s="5">
        <f>B20*8.1/100</f>
        <v>9.7200000000000006</v>
      </c>
      <c r="F20" s="5">
        <f>B20*40/100</f>
        <v>48</v>
      </c>
      <c r="G20" s="5">
        <v>120</v>
      </c>
      <c r="H20" s="5"/>
      <c r="I20" s="1" t="s">
        <v>258</v>
      </c>
    </row>
    <row r="21" spans="1:9" x14ac:dyDescent="0.25">
      <c r="A21" s="2" t="s">
        <v>33</v>
      </c>
      <c r="B21" s="7"/>
      <c r="C21" s="7"/>
      <c r="D21" s="7"/>
      <c r="E21" s="7"/>
      <c r="F21" s="7"/>
      <c r="G21" s="7"/>
      <c r="H21" s="7"/>
      <c r="I21" s="1"/>
    </row>
    <row r="22" spans="1:9" x14ac:dyDescent="0.25">
      <c r="A22" s="2" t="s">
        <v>43</v>
      </c>
      <c r="B22" s="7"/>
      <c r="C22" s="7"/>
      <c r="D22" s="7"/>
      <c r="E22" s="7"/>
      <c r="F22" s="7"/>
      <c r="G22" s="7"/>
      <c r="H22" s="7"/>
      <c r="I22" s="1"/>
    </row>
    <row r="23" spans="1:9" x14ac:dyDescent="0.25">
      <c r="A23" s="1" t="s">
        <v>41</v>
      </c>
      <c r="B23" s="8">
        <v>30</v>
      </c>
      <c r="C23" s="7">
        <f>B23*18.6/100</f>
        <v>5.58</v>
      </c>
      <c r="D23" s="7">
        <f>B23*16/100</f>
        <v>4.8</v>
      </c>
      <c r="E23" s="7">
        <f>B23*0/100</f>
        <v>0</v>
      </c>
      <c r="F23" s="7">
        <f>B23*218/100</f>
        <v>65.400000000000006</v>
      </c>
      <c r="G23" s="7"/>
      <c r="H23" s="7"/>
      <c r="I23" s="1"/>
    </row>
    <row r="24" spans="1:9" x14ac:dyDescent="0.25">
      <c r="A24" s="1" t="s">
        <v>15</v>
      </c>
      <c r="B24" s="8">
        <v>40</v>
      </c>
      <c r="C24" s="7">
        <f>B24*2/100</f>
        <v>0.8</v>
      </c>
      <c r="D24" s="7">
        <f>B24*0.4/100</f>
        <v>0.16</v>
      </c>
      <c r="E24" s="7">
        <f>B24*17.3/100</f>
        <v>6.92</v>
      </c>
      <c r="F24" s="7">
        <f>B24*80/100</f>
        <v>32</v>
      </c>
      <c r="G24" s="7"/>
      <c r="H24" s="7"/>
      <c r="I24" s="1"/>
    </row>
    <row r="25" spans="1:9" x14ac:dyDescent="0.25">
      <c r="A25" s="1" t="s">
        <v>26</v>
      </c>
      <c r="B25" s="8">
        <v>40</v>
      </c>
      <c r="C25" s="7">
        <f>B25*1.8/100</f>
        <v>0.72</v>
      </c>
      <c r="D25" s="7">
        <f>B25*0.1/100</f>
        <v>0.04</v>
      </c>
      <c r="E25" s="7">
        <f>B25*4.7/100</f>
        <v>1.88</v>
      </c>
      <c r="F25" s="7">
        <f>B25*27/100</f>
        <v>10.8</v>
      </c>
      <c r="G25" s="7"/>
      <c r="H25" s="7"/>
      <c r="I25" s="1"/>
    </row>
    <row r="26" spans="1:9" x14ac:dyDescent="0.25">
      <c r="A26" s="1" t="s">
        <v>42</v>
      </c>
      <c r="B26" s="8">
        <v>18</v>
      </c>
      <c r="C26" s="7">
        <f>B26*1.5/100</f>
        <v>0.27</v>
      </c>
      <c r="D26" s="7">
        <f>B26*0.1/100</f>
        <v>1.8000000000000002E-2</v>
      </c>
      <c r="E26" s="7">
        <f>B26*10/100</f>
        <v>1.8</v>
      </c>
      <c r="F26" s="7">
        <f>B26*42/100</f>
        <v>7.56</v>
      </c>
      <c r="G26" s="7"/>
      <c r="H26" s="7"/>
      <c r="I26" s="1"/>
    </row>
    <row r="27" spans="1:9" x14ac:dyDescent="0.25">
      <c r="A27" s="1" t="s">
        <v>20</v>
      </c>
      <c r="B27" s="8">
        <v>13</v>
      </c>
      <c r="C27" s="7">
        <f>B27*1.4/100</f>
        <v>0.182</v>
      </c>
      <c r="D27" s="7">
        <f>B27*0/100</f>
        <v>0</v>
      </c>
      <c r="E27" s="7">
        <f>B27*9.1/100</f>
        <v>1.1830000000000001</v>
      </c>
      <c r="F27" s="7">
        <f>B27*41/100</f>
        <v>5.33</v>
      </c>
      <c r="G27" s="7"/>
      <c r="H27" s="7"/>
      <c r="I27" s="1"/>
    </row>
    <row r="28" spans="1:9" x14ac:dyDescent="0.25">
      <c r="A28" s="1" t="s">
        <v>16</v>
      </c>
      <c r="B28" s="8">
        <v>13</v>
      </c>
      <c r="C28" s="7">
        <f>B28*1.3/100</f>
        <v>0.16900000000000001</v>
      </c>
      <c r="D28" s="7">
        <f>B28*0.1/100</f>
        <v>1.3000000000000001E-2</v>
      </c>
      <c r="E28" s="7">
        <f>B28*8.4/100</f>
        <v>1.0920000000000001</v>
      </c>
      <c r="F28" s="7">
        <f>B28*34/100</f>
        <v>4.42</v>
      </c>
      <c r="G28" s="7"/>
      <c r="H28" s="7"/>
      <c r="I28" s="1"/>
    </row>
    <row r="29" spans="1:9" x14ac:dyDescent="0.25">
      <c r="A29" s="1" t="s">
        <v>28</v>
      </c>
      <c r="B29" s="8">
        <v>4</v>
      </c>
      <c r="C29" s="7">
        <f>B29*4.8/100</f>
        <v>0.192</v>
      </c>
      <c r="D29" s="7">
        <f>B29*0/100</f>
        <v>0</v>
      </c>
      <c r="E29" s="7">
        <f>B29*19/100</f>
        <v>0.76</v>
      </c>
      <c r="F29" s="7">
        <f>B29*99/100</f>
        <v>3.96</v>
      </c>
      <c r="G29" s="7"/>
      <c r="H29" s="7"/>
      <c r="I29" s="1"/>
    </row>
    <row r="30" spans="1:9" x14ac:dyDescent="0.25">
      <c r="A30" s="1" t="s">
        <v>8</v>
      </c>
      <c r="B30" s="8">
        <v>2</v>
      </c>
      <c r="C30" s="7">
        <f>B30*0.7/100</f>
        <v>1.3999999999999999E-2</v>
      </c>
      <c r="D30" s="7">
        <f>B30*72.5/100</f>
        <v>1.45</v>
      </c>
      <c r="E30" s="7">
        <f>B30*1/100</f>
        <v>0.02</v>
      </c>
      <c r="F30" s="7">
        <f>B30*709/100</f>
        <v>14.18</v>
      </c>
      <c r="G30" s="5"/>
      <c r="H30" s="5"/>
      <c r="I30" s="1"/>
    </row>
    <row r="31" spans="1:9" x14ac:dyDescent="0.25">
      <c r="A31" s="1" t="s">
        <v>44</v>
      </c>
      <c r="B31" s="8">
        <v>12</v>
      </c>
      <c r="C31" s="7">
        <f>B31*2.8/100</f>
        <v>0.33599999999999997</v>
      </c>
      <c r="D31" s="7">
        <f>B31*20/100</f>
        <v>2.4</v>
      </c>
      <c r="E31" s="7">
        <f>B31*3.2/100</f>
        <v>0.38400000000000006</v>
      </c>
      <c r="F31" s="7">
        <f>B31*206/100</f>
        <v>24.72</v>
      </c>
      <c r="G31" s="5"/>
      <c r="H31" s="5"/>
      <c r="I31" s="1"/>
    </row>
    <row r="32" spans="1:9" ht="19.5" customHeight="1" x14ac:dyDescent="0.25">
      <c r="A32" s="2" t="s">
        <v>14</v>
      </c>
      <c r="B32" s="5"/>
      <c r="C32" s="5">
        <f>C23+C24+C25+C26+C27+C28+C29+C30+C31</f>
        <v>8.2629999999999999</v>
      </c>
      <c r="D32" s="5">
        <f>D23+D24+D25+D26+D27+D28+D29+D30+D31</f>
        <v>8.8810000000000002</v>
      </c>
      <c r="E32" s="5">
        <f>E24+E25+E26+E27+E28+E29+E30+E31</f>
        <v>14.039000000000001</v>
      </c>
      <c r="F32" s="5">
        <f>F23+F24+F25+F26+F27+F28+F29+F30+F31</f>
        <v>168.37</v>
      </c>
      <c r="G32" s="5" t="s">
        <v>336</v>
      </c>
      <c r="H32" s="5"/>
      <c r="I32" s="1" t="s">
        <v>211</v>
      </c>
    </row>
    <row r="33" spans="1:9" x14ac:dyDescent="0.25">
      <c r="A33" s="25" t="s">
        <v>304</v>
      </c>
      <c r="B33" s="7"/>
      <c r="C33" s="7"/>
      <c r="D33" s="7"/>
      <c r="E33" s="7"/>
      <c r="F33" s="7"/>
      <c r="G33" s="5"/>
      <c r="H33" s="5"/>
      <c r="I33" s="1"/>
    </row>
    <row r="34" spans="1:9" x14ac:dyDescent="0.25">
      <c r="A34" s="1" t="s">
        <v>45</v>
      </c>
      <c r="B34" s="8">
        <v>120</v>
      </c>
      <c r="C34" s="7">
        <f>B34*16/100</f>
        <v>19.2</v>
      </c>
      <c r="D34" s="7">
        <f>B34*0.6/100</f>
        <v>0.72</v>
      </c>
      <c r="E34" s="7">
        <v>0</v>
      </c>
      <c r="F34" s="7">
        <f>B34*69/100</f>
        <v>82.8</v>
      </c>
      <c r="G34" s="5"/>
      <c r="H34" s="5"/>
      <c r="I34" s="1"/>
    </row>
    <row r="35" spans="1:9" x14ac:dyDescent="0.25">
      <c r="A35" s="1" t="s">
        <v>7</v>
      </c>
      <c r="B35" s="8">
        <v>40</v>
      </c>
      <c r="C35" s="7">
        <f>B35*2.8/100</f>
        <v>1.1200000000000001</v>
      </c>
      <c r="D35" s="7">
        <f>B35*3.5/100</f>
        <v>1.4</v>
      </c>
      <c r="E35" s="7">
        <f>B35*4.7/100</f>
        <v>1.88</v>
      </c>
      <c r="F35" s="7">
        <f>B35*61/100</f>
        <v>24.4</v>
      </c>
      <c r="G35" s="5"/>
      <c r="H35" s="5"/>
      <c r="I35" s="1"/>
    </row>
    <row r="36" spans="1:9" x14ac:dyDescent="0.25">
      <c r="A36" s="1" t="s">
        <v>8</v>
      </c>
      <c r="B36" s="8">
        <v>3</v>
      </c>
      <c r="C36" s="7">
        <f>B36*0.7/100</f>
        <v>2.0999999999999998E-2</v>
      </c>
      <c r="D36" s="7">
        <f>B36*72.5/100</f>
        <v>2.1749999999999998</v>
      </c>
      <c r="E36" s="7">
        <f>B36*1/100</f>
        <v>0.03</v>
      </c>
      <c r="F36" s="7">
        <f>B36*709/100</f>
        <v>21.27</v>
      </c>
      <c r="G36" s="5"/>
      <c r="H36" s="5"/>
      <c r="I36" s="1"/>
    </row>
    <row r="37" spans="1:9" x14ac:dyDescent="0.25">
      <c r="A37" s="1" t="s">
        <v>123</v>
      </c>
      <c r="B37" s="8">
        <v>5</v>
      </c>
      <c r="C37" s="7">
        <f>B37*10.3/100</f>
        <v>0.51500000000000001</v>
      </c>
      <c r="D37" s="7">
        <f>B37*1.1/100</f>
        <v>5.5E-2</v>
      </c>
      <c r="E37" s="7">
        <f>B37*69/100</f>
        <v>3.45</v>
      </c>
      <c r="F37" s="7">
        <f>B37*334/100</f>
        <v>16.7</v>
      </c>
      <c r="G37" s="5"/>
      <c r="H37" s="5"/>
      <c r="I37" s="1"/>
    </row>
    <row r="38" spans="1:9" x14ac:dyDescent="0.25">
      <c r="A38" s="1" t="s">
        <v>57</v>
      </c>
      <c r="B38" s="8">
        <v>3</v>
      </c>
      <c r="C38" s="7">
        <f>B38*0/100</f>
        <v>0</v>
      </c>
      <c r="D38" s="7">
        <f>B38*99.9/100</f>
        <v>2.9970000000000003</v>
      </c>
      <c r="E38" s="7">
        <f>B38*0/100</f>
        <v>0</v>
      </c>
      <c r="F38" s="7">
        <f>B38*899/100</f>
        <v>26.97</v>
      </c>
      <c r="G38" s="5"/>
      <c r="H38" s="5"/>
      <c r="I38" s="1"/>
    </row>
    <row r="39" spans="1:9" ht="18.75" customHeight="1" x14ac:dyDescent="0.25">
      <c r="A39" s="2" t="s">
        <v>14</v>
      </c>
      <c r="B39" s="5"/>
      <c r="C39" s="5">
        <f>C34+C35+C36+C38+C38</f>
        <v>20.341000000000001</v>
      </c>
      <c r="D39" s="5">
        <f>D34+D35+D36+D37+D38</f>
        <v>7.3469999999999995</v>
      </c>
      <c r="E39" s="5">
        <f>E34+E35+E36+E37+E38</f>
        <v>5.36</v>
      </c>
      <c r="F39" s="5">
        <f>F34+F35+F36+F37+F38</f>
        <v>172.14</v>
      </c>
      <c r="G39" s="5">
        <v>120</v>
      </c>
      <c r="H39" s="5"/>
      <c r="I39" s="1" t="s">
        <v>212</v>
      </c>
    </row>
    <row r="40" spans="1:9" x14ac:dyDescent="0.25">
      <c r="A40" s="2" t="s">
        <v>51</v>
      </c>
      <c r="B40" s="7"/>
      <c r="C40" s="7">
        <f t="shared" ref="C40" si="6">B40*0.7/100</f>
        <v>0</v>
      </c>
      <c r="D40" s="7">
        <f t="shared" si="5"/>
        <v>0</v>
      </c>
      <c r="E40" s="7">
        <f t="shared" si="2"/>
        <v>0</v>
      </c>
      <c r="F40" s="7">
        <f t="shared" si="3"/>
        <v>0</v>
      </c>
      <c r="G40" s="7"/>
      <c r="H40" s="7"/>
      <c r="I40" s="1"/>
    </row>
    <row r="41" spans="1:9" x14ac:dyDescent="0.25">
      <c r="A41" s="1" t="s">
        <v>52</v>
      </c>
      <c r="B41" s="8">
        <v>25</v>
      </c>
      <c r="C41" s="7">
        <f>B41*0.8/100</f>
        <v>0.2</v>
      </c>
      <c r="D41" s="7">
        <f>B41*0.4/100</f>
        <v>0.1</v>
      </c>
      <c r="E41" s="7">
        <f>B41*6.3/100</f>
        <v>1.575</v>
      </c>
      <c r="F41" s="7">
        <f>B41*34/100</f>
        <v>8.5</v>
      </c>
      <c r="G41" s="7"/>
      <c r="H41" s="7"/>
      <c r="I41" s="1"/>
    </row>
    <row r="42" spans="1:9" x14ac:dyDescent="0.25">
      <c r="A42" s="1" t="s">
        <v>9</v>
      </c>
      <c r="B42" s="8">
        <v>7</v>
      </c>
      <c r="C42" s="7">
        <f>B42*0/100</f>
        <v>0</v>
      </c>
      <c r="D42" s="7">
        <f>B42*0/100</f>
        <v>0</v>
      </c>
      <c r="E42" s="7">
        <f>B42*99.8/100</f>
        <v>6.9860000000000007</v>
      </c>
      <c r="F42" s="7">
        <f>B42*379/100</f>
        <v>26.53</v>
      </c>
      <c r="G42" s="7"/>
      <c r="H42" s="7"/>
      <c r="I42" s="1"/>
    </row>
    <row r="43" spans="1:9" x14ac:dyDescent="0.25">
      <c r="A43" s="1" t="s">
        <v>53</v>
      </c>
      <c r="B43" s="8">
        <v>2</v>
      </c>
      <c r="C43" s="7">
        <f>B43*0.1/100</f>
        <v>2E-3</v>
      </c>
      <c r="D43" s="7">
        <f>B43*0/100</f>
        <v>0</v>
      </c>
      <c r="E43" s="7">
        <f>B43*0/100</f>
        <v>0</v>
      </c>
      <c r="F43" s="7">
        <f>B43*79.6/100</f>
        <v>1.5919999999999999</v>
      </c>
      <c r="G43" s="5"/>
      <c r="H43" s="5"/>
      <c r="I43" s="1"/>
    </row>
    <row r="44" spans="1:9" ht="20.25" customHeight="1" x14ac:dyDescent="0.25">
      <c r="A44" s="2" t="s">
        <v>14</v>
      </c>
      <c r="B44" s="5"/>
      <c r="C44" s="5">
        <f>C41+C43</f>
        <v>0.20200000000000001</v>
      </c>
      <c r="D44" s="5">
        <f>D41</f>
        <v>0.1</v>
      </c>
      <c r="E44" s="5">
        <f>E41+E42</f>
        <v>8.5609999999999999</v>
      </c>
      <c r="F44" s="5">
        <f>F41+F42+F43</f>
        <v>36.622</v>
      </c>
      <c r="G44" s="5">
        <v>180</v>
      </c>
      <c r="H44" s="5"/>
      <c r="I44" s="1" t="s">
        <v>214</v>
      </c>
    </row>
    <row r="45" spans="1:9" x14ac:dyDescent="0.25">
      <c r="A45" s="1"/>
      <c r="B45" s="7"/>
      <c r="C45" s="7"/>
      <c r="D45" s="7"/>
      <c r="E45" s="7"/>
      <c r="F45" s="7"/>
      <c r="G45" s="5"/>
      <c r="H45" s="5"/>
      <c r="I45" s="1"/>
    </row>
    <row r="46" spans="1:9" x14ac:dyDescent="0.25">
      <c r="A46" s="1" t="s">
        <v>32</v>
      </c>
      <c r="B46" s="8">
        <v>37</v>
      </c>
      <c r="C46" s="7">
        <f>B46*6.6/100</f>
        <v>2.4419999999999997</v>
      </c>
      <c r="D46" s="7">
        <f>B46*1.2/100</f>
        <v>0.44400000000000001</v>
      </c>
      <c r="E46" s="7">
        <f>B46*34.2/100</f>
        <v>12.654000000000002</v>
      </c>
      <c r="F46" s="7">
        <f>B46*181/100</f>
        <v>66.97</v>
      </c>
      <c r="G46" s="5"/>
      <c r="H46" s="5"/>
      <c r="I46" s="1"/>
    </row>
    <row r="47" spans="1:9" ht="18" customHeight="1" x14ac:dyDescent="0.25">
      <c r="A47" s="2" t="s">
        <v>14</v>
      </c>
      <c r="B47" s="5"/>
      <c r="C47" s="5">
        <f>C46</f>
        <v>2.4419999999999997</v>
      </c>
      <c r="D47" s="5">
        <f>D46</f>
        <v>0.44400000000000001</v>
      </c>
      <c r="E47" s="5">
        <f>E46</f>
        <v>12.654000000000002</v>
      </c>
      <c r="F47" s="5">
        <f>F46</f>
        <v>66.97</v>
      </c>
      <c r="G47" s="5">
        <v>37</v>
      </c>
      <c r="H47" s="5"/>
      <c r="I47" s="1"/>
    </row>
    <row r="48" spans="1:9" x14ac:dyDescent="0.25">
      <c r="A48" s="2" t="s">
        <v>55</v>
      </c>
      <c r="B48" s="7"/>
      <c r="C48" s="7"/>
      <c r="D48" s="7"/>
      <c r="E48" s="7"/>
      <c r="F48" s="7"/>
      <c r="G48" s="5"/>
      <c r="H48" s="5"/>
      <c r="I48" s="1"/>
    </row>
    <row r="49" spans="1:9" x14ac:dyDescent="0.25">
      <c r="A49" s="3" t="s">
        <v>54</v>
      </c>
      <c r="B49" s="10">
        <v>33</v>
      </c>
      <c r="C49" s="10">
        <f>B49*0.8/100</f>
        <v>0.26400000000000001</v>
      </c>
      <c r="D49" s="10">
        <f>B49*0.1/100</f>
        <v>3.3000000000000002E-2</v>
      </c>
      <c r="E49" s="10">
        <f>B49*3.4/100</f>
        <v>1.1220000000000001</v>
      </c>
      <c r="F49" s="10">
        <f>B49*14/100</f>
        <v>4.62</v>
      </c>
      <c r="G49" s="5"/>
      <c r="H49" s="5"/>
      <c r="I49" s="1"/>
    </row>
    <row r="50" spans="1:9" x14ac:dyDescent="0.25">
      <c r="A50" s="1" t="s">
        <v>56</v>
      </c>
      <c r="B50" s="7">
        <v>31</v>
      </c>
      <c r="C50" s="7">
        <f>B50*1.1/100</f>
        <v>0.34100000000000003</v>
      </c>
      <c r="D50" s="7">
        <f>B50*0.2/100</f>
        <v>6.2E-2</v>
      </c>
      <c r="E50" s="7">
        <f>B50*3.3/100</f>
        <v>1.0229999999999999</v>
      </c>
      <c r="F50" s="7">
        <f>B50*23/100</f>
        <v>7.13</v>
      </c>
      <c r="G50" s="5"/>
      <c r="H50" s="5"/>
      <c r="I50" s="1"/>
    </row>
    <row r="51" spans="1:9" x14ac:dyDescent="0.25">
      <c r="A51" s="3" t="s">
        <v>57</v>
      </c>
      <c r="B51" s="10">
        <v>6</v>
      </c>
      <c r="C51" s="10">
        <f>B51*0/100</f>
        <v>0</v>
      </c>
      <c r="D51" s="10">
        <f>B51*99.9/100</f>
        <v>5.9940000000000007</v>
      </c>
      <c r="E51" s="10">
        <f>B51*0/100</f>
        <v>0</v>
      </c>
      <c r="F51" s="10">
        <f>B51*899/100</f>
        <v>53.94</v>
      </c>
      <c r="G51" s="5">
        <v>70</v>
      </c>
      <c r="H51" s="5"/>
      <c r="I51" s="1"/>
    </row>
    <row r="52" spans="1:9" x14ac:dyDescent="0.25">
      <c r="A52" s="2" t="s">
        <v>14</v>
      </c>
      <c r="B52" s="5"/>
      <c r="C52" s="5">
        <f>C49+C50</f>
        <v>0.60499999999999998</v>
      </c>
      <c r="D52" s="5">
        <f>D49+D50+D51</f>
        <v>6.0890000000000004</v>
      </c>
      <c r="E52" s="5">
        <f>E49+E50</f>
        <v>2.145</v>
      </c>
      <c r="F52" s="5">
        <f>F50+F51</f>
        <v>61.07</v>
      </c>
      <c r="G52" s="5"/>
      <c r="H52" s="5"/>
      <c r="I52" s="1" t="s">
        <v>215</v>
      </c>
    </row>
    <row r="53" spans="1:9" x14ac:dyDescent="0.25">
      <c r="A53" s="2" t="s">
        <v>76</v>
      </c>
      <c r="B53" s="5"/>
      <c r="C53" s="5">
        <f>C32+C39+C44+C47+C52</f>
        <v>31.853000000000002</v>
      </c>
      <c r="D53" s="5">
        <f>D32+D39+D44+D47+D52</f>
        <v>22.861000000000004</v>
      </c>
      <c r="E53" s="5">
        <f>E32+E39+E44+E47+E52</f>
        <v>42.759000000000007</v>
      </c>
      <c r="F53" s="5">
        <f>F32+F39+F44+F47+F52</f>
        <v>505.17199999999997</v>
      </c>
      <c r="G53" s="5">
        <v>619</v>
      </c>
      <c r="H53" s="5"/>
      <c r="I53" s="1"/>
    </row>
    <row r="54" spans="1:9" ht="22.5" customHeight="1" x14ac:dyDescent="0.25">
      <c r="A54" s="2" t="s">
        <v>277</v>
      </c>
      <c r="B54" s="16"/>
      <c r="C54" s="16"/>
      <c r="D54" s="16"/>
      <c r="E54" s="16"/>
      <c r="F54" s="17"/>
      <c r="G54" s="5"/>
      <c r="H54" s="5"/>
      <c r="I54" s="1"/>
    </row>
    <row r="55" spans="1:9" ht="15.75" customHeight="1" x14ac:dyDescent="0.25">
      <c r="A55" s="2" t="s">
        <v>82</v>
      </c>
      <c r="B55" s="16"/>
      <c r="C55" s="16"/>
      <c r="D55" s="16"/>
      <c r="E55" s="16"/>
      <c r="F55" s="17"/>
      <c r="G55" s="5"/>
      <c r="H55" s="5"/>
      <c r="I55" s="1"/>
    </row>
    <row r="56" spans="1:9" ht="18" customHeight="1" x14ac:dyDescent="0.25">
      <c r="A56" s="3" t="s">
        <v>83</v>
      </c>
      <c r="B56" s="11">
        <v>0.5</v>
      </c>
      <c r="C56" s="10">
        <f>B56*0/100</f>
        <v>0</v>
      </c>
      <c r="D56" s="10">
        <f>B56*0/100</f>
        <v>0</v>
      </c>
      <c r="E56" s="10">
        <f>B56*0/100</f>
        <v>0</v>
      </c>
      <c r="F56" s="10">
        <f>B56*0/100</f>
        <v>0</v>
      </c>
      <c r="G56" s="10"/>
      <c r="H56" s="10"/>
      <c r="I56" s="3"/>
    </row>
    <row r="57" spans="1:9" ht="17.25" customHeight="1" x14ac:dyDescent="0.25">
      <c r="A57" s="3" t="s">
        <v>9</v>
      </c>
      <c r="B57" s="11">
        <v>6</v>
      </c>
      <c r="C57" s="10">
        <f>B57*0/100</f>
        <v>0</v>
      </c>
      <c r="D57" s="10">
        <f>B57*0/100</f>
        <v>0</v>
      </c>
      <c r="E57" s="10">
        <f>B57*99.8/100</f>
        <v>5.9879999999999995</v>
      </c>
      <c r="F57" s="10">
        <f t="shared" ref="F57" si="7">B57*379/100</f>
        <v>22.74</v>
      </c>
      <c r="G57" s="10"/>
      <c r="H57" s="10"/>
      <c r="I57" s="3"/>
    </row>
    <row r="58" spans="1:9" ht="15.75" customHeight="1" x14ac:dyDescent="0.25">
      <c r="A58" s="3" t="s">
        <v>84</v>
      </c>
      <c r="B58" s="11">
        <v>9</v>
      </c>
      <c r="C58" s="10">
        <f>B58*0.9/100</f>
        <v>8.1000000000000003E-2</v>
      </c>
      <c r="D58" s="10">
        <f>B58*0/100</f>
        <v>0</v>
      </c>
      <c r="E58" s="10">
        <f>B58*3/100</f>
        <v>0.27</v>
      </c>
      <c r="F58" s="10">
        <f>B58*33/100</f>
        <v>2.97</v>
      </c>
      <c r="G58" s="10"/>
      <c r="H58" s="10"/>
      <c r="I58" s="3"/>
    </row>
    <row r="59" spans="1:9" ht="18" customHeight="1" x14ac:dyDescent="0.25">
      <c r="A59" s="2" t="s">
        <v>14</v>
      </c>
      <c r="B59" s="5"/>
      <c r="C59" s="5">
        <f>C56+C57+C58</f>
        <v>8.1000000000000003E-2</v>
      </c>
      <c r="D59" s="5">
        <f>D56+D57+D58</f>
        <v>0</v>
      </c>
      <c r="E59" s="5">
        <f>E57+E58</f>
        <v>6.2579999999999991</v>
      </c>
      <c r="F59" s="5">
        <f>F57+F58</f>
        <v>25.709999999999997</v>
      </c>
      <c r="G59" s="5">
        <v>180</v>
      </c>
      <c r="H59" s="5"/>
      <c r="I59" s="3" t="s">
        <v>227</v>
      </c>
    </row>
    <row r="60" spans="1:9" ht="15" customHeight="1" x14ac:dyDescent="0.25">
      <c r="A60" s="2" t="s">
        <v>330</v>
      </c>
      <c r="B60" s="16"/>
      <c r="C60" s="16"/>
      <c r="D60" s="16"/>
      <c r="E60" s="16"/>
      <c r="F60" s="17"/>
      <c r="G60" s="5"/>
      <c r="H60" s="5"/>
      <c r="I60" s="1"/>
    </row>
    <row r="61" spans="1:9" ht="15.75" customHeight="1" x14ac:dyDescent="0.25">
      <c r="A61" s="3" t="s">
        <v>327</v>
      </c>
      <c r="B61" s="8">
        <v>110</v>
      </c>
      <c r="C61" s="7">
        <f>B61*2/100</f>
        <v>2.2000000000000002</v>
      </c>
      <c r="D61" s="7">
        <f>B61*0.4/100</f>
        <v>0.44</v>
      </c>
      <c r="E61" s="7">
        <f>B61*17.3/100</f>
        <v>19.03</v>
      </c>
      <c r="F61" s="7">
        <f>B61*80/100</f>
        <v>88</v>
      </c>
      <c r="G61" s="7"/>
      <c r="H61" s="7"/>
      <c r="I61" s="1"/>
    </row>
    <row r="62" spans="1:9" ht="15" customHeight="1" x14ac:dyDescent="0.25">
      <c r="A62" s="3" t="s">
        <v>328</v>
      </c>
      <c r="B62" s="11">
        <v>30</v>
      </c>
      <c r="C62" s="10">
        <f>B62*3.2/100</f>
        <v>0.96</v>
      </c>
      <c r="D62" s="10">
        <f>B62*0.2/100</f>
        <v>0.06</v>
      </c>
      <c r="E62" s="10">
        <f>B62*6.5/100</f>
        <v>1.95</v>
      </c>
      <c r="F62" s="10">
        <f>B62*40/100</f>
        <v>12</v>
      </c>
      <c r="G62" s="28"/>
      <c r="H62" s="5"/>
      <c r="I62" s="1"/>
    </row>
    <row r="63" spans="1:9" ht="15" customHeight="1" x14ac:dyDescent="0.25">
      <c r="A63" s="3" t="s">
        <v>329</v>
      </c>
      <c r="B63" s="8">
        <v>15</v>
      </c>
      <c r="C63" s="7">
        <f>B63*1.4/100</f>
        <v>0.21</v>
      </c>
      <c r="D63" s="7">
        <f>B63*0/100</f>
        <v>0</v>
      </c>
      <c r="E63" s="7">
        <f>B63*9.1/100</f>
        <v>1.365</v>
      </c>
      <c r="F63" s="7">
        <f>B63*41/100</f>
        <v>6.15</v>
      </c>
      <c r="G63" s="7"/>
      <c r="H63" s="7"/>
      <c r="I63" s="1"/>
    </row>
    <row r="64" spans="1:9" ht="17.25" customHeight="1" x14ac:dyDescent="0.25">
      <c r="A64" s="3" t="s">
        <v>57</v>
      </c>
      <c r="B64" s="10">
        <v>7</v>
      </c>
      <c r="C64" s="10">
        <f>B64*0/100</f>
        <v>0</v>
      </c>
      <c r="D64" s="10">
        <f>B64*99.9/100</f>
        <v>6.9930000000000003</v>
      </c>
      <c r="E64" s="10">
        <f>B64*0/100</f>
        <v>0</v>
      </c>
      <c r="F64" s="10">
        <f>B64*899/100</f>
        <v>62.93</v>
      </c>
      <c r="G64" s="7"/>
      <c r="H64" s="7"/>
      <c r="I64" s="1"/>
    </row>
    <row r="65" spans="1:9" ht="15.75" customHeight="1" x14ac:dyDescent="0.25">
      <c r="A65" s="3" t="s">
        <v>120</v>
      </c>
      <c r="B65" s="10">
        <v>25</v>
      </c>
      <c r="C65" s="10">
        <f>B65*0.8/100</f>
        <v>0.2</v>
      </c>
      <c r="D65" s="10">
        <f>B65*0.1/100</f>
        <v>2.5000000000000001E-2</v>
      </c>
      <c r="E65" s="10">
        <f>B65*3.4/100</f>
        <v>0.85</v>
      </c>
      <c r="F65" s="10">
        <f>B65*14/100</f>
        <v>3.5</v>
      </c>
      <c r="G65" s="7"/>
      <c r="H65" s="7"/>
      <c r="I65" s="1"/>
    </row>
    <row r="66" spans="1:9" ht="15.75" customHeight="1" x14ac:dyDescent="0.25">
      <c r="A66" s="3" t="s">
        <v>16</v>
      </c>
      <c r="B66" s="8">
        <v>18</v>
      </c>
      <c r="C66" s="7">
        <f>B66*1.3/100</f>
        <v>0.23400000000000001</v>
      </c>
      <c r="D66" s="7">
        <f>B66*0.1/100</f>
        <v>1.8000000000000002E-2</v>
      </c>
      <c r="E66" s="7">
        <f>B66*8.4/100</f>
        <v>1.5120000000000002</v>
      </c>
      <c r="F66" s="7">
        <f>B66*34/100</f>
        <v>6.12</v>
      </c>
      <c r="G66" s="7"/>
      <c r="H66" s="7"/>
      <c r="I66" s="1"/>
    </row>
    <row r="67" spans="1:9" ht="22.5" customHeight="1" x14ac:dyDescent="0.25">
      <c r="A67" s="2" t="s">
        <v>14</v>
      </c>
      <c r="B67" s="16"/>
      <c r="C67" s="16">
        <f>C61+C62+C63+C64+C65</f>
        <v>3.5700000000000003</v>
      </c>
      <c r="D67" s="16">
        <f>D61+D62+D63+D64+D65</f>
        <v>7.5180000000000007</v>
      </c>
      <c r="E67" s="16">
        <f>E61+E62+E63+E64+E65</f>
        <v>23.195</v>
      </c>
      <c r="F67" s="17">
        <f>F61+F62+F63+F64+F65</f>
        <v>172.58</v>
      </c>
      <c r="G67" s="5">
        <v>205</v>
      </c>
      <c r="H67" s="5"/>
      <c r="I67" s="1" t="s">
        <v>287</v>
      </c>
    </row>
    <row r="68" spans="1:9" ht="22.5" customHeight="1" x14ac:dyDescent="0.25">
      <c r="A68" s="2" t="s">
        <v>283</v>
      </c>
      <c r="B68" s="16"/>
      <c r="C68" s="16">
        <f>C59+C67</f>
        <v>3.6510000000000002</v>
      </c>
      <c r="D68" s="16">
        <f>D59+D67</f>
        <v>7.5180000000000007</v>
      </c>
      <c r="E68" s="16">
        <f>E59+E67</f>
        <v>29.452999999999999</v>
      </c>
      <c r="F68" s="17">
        <f>F59+F67</f>
        <v>198.29000000000002</v>
      </c>
      <c r="G68" s="5">
        <v>385</v>
      </c>
      <c r="H68" s="5"/>
      <c r="I68" s="1"/>
    </row>
    <row r="69" spans="1:9" ht="22.5" customHeight="1" x14ac:dyDescent="0.25">
      <c r="A69" s="15" t="s">
        <v>281</v>
      </c>
      <c r="B69" s="16"/>
      <c r="C69" s="16">
        <f>C19+C20+C53+C68</f>
        <v>41.588000000000001</v>
      </c>
      <c r="D69" s="16">
        <f>D19+D20+D53+D68</f>
        <v>42.939000000000007</v>
      </c>
      <c r="E69" s="16">
        <f>E19+E20+E53+E68</f>
        <v>112.17200000000001</v>
      </c>
      <c r="F69" s="17">
        <f>F19+F20+F53+F68</f>
        <v>1345.222</v>
      </c>
      <c r="G69" s="5"/>
      <c r="H69" s="5"/>
      <c r="I69" s="1"/>
    </row>
    <row r="70" spans="1:9" ht="22.5" customHeight="1" x14ac:dyDescent="0.25">
      <c r="A70" s="15" t="s">
        <v>196</v>
      </c>
      <c r="B70" s="16">
        <v>3.75</v>
      </c>
      <c r="C70" s="16"/>
      <c r="D70" s="16"/>
      <c r="E70" s="16"/>
      <c r="F70" s="17"/>
      <c r="G70" s="5"/>
      <c r="H70" s="5"/>
      <c r="I70" s="1"/>
    </row>
    <row r="71" spans="1:9" ht="20.25" customHeight="1" x14ac:dyDescent="0.25">
      <c r="A71" s="2" t="s">
        <v>318</v>
      </c>
      <c r="B71" s="7"/>
      <c r="C71" s="10"/>
      <c r="D71" s="10"/>
      <c r="E71" s="10"/>
      <c r="F71" s="7"/>
      <c r="G71" s="7"/>
      <c r="H71" s="7"/>
      <c r="I71" s="1"/>
    </row>
  </sheetData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topLeftCell="A43" workbookViewId="0">
      <selection activeCell="A18" sqref="A18"/>
    </sheetView>
  </sheetViews>
  <sheetFormatPr defaultRowHeight="15" x14ac:dyDescent="0.25"/>
  <cols>
    <col min="1" max="1" width="51.42578125" customWidth="1"/>
    <col min="2" max="2" width="7.5703125" customWidth="1"/>
    <col min="7" max="8" width="7.5703125" customWidth="1"/>
    <col min="9" max="9" width="13.7109375" customWidth="1"/>
  </cols>
  <sheetData>
    <row r="1" spans="1:9" x14ac:dyDescent="0.25">
      <c r="A1" s="2" t="s">
        <v>36</v>
      </c>
      <c r="B1" s="7"/>
      <c r="C1" s="10"/>
      <c r="D1" s="10"/>
      <c r="E1" s="10"/>
      <c r="F1" s="7"/>
      <c r="G1" s="7"/>
      <c r="H1" s="7" t="s">
        <v>35</v>
      </c>
      <c r="I1" s="2" t="s">
        <v>197</v>
      </c>
    </row>
    <row r="2" spans="1:9" x14ac:dyDescent="0.25">
      <c r="A2" s="2" t="s">
        <v>288</v>
      </c>
      <c r="B2" s="7"/>
      <c r="C2" s="7"/>
      <c r="D2" s="7"/>
      <c r="E2" s="7"/>
      <c r="F2" s="7"/>
      <c r="G2" s="7"/>
      <c r="H2" s="7"/>
      <c r="I2" s="1"/>
    </row>
    <row r="3" spans="1:9" x14ac:dyDescent="0.25">
      <c r="A3" s="1" t="s">
        <v>354</v>
      </c>
      <c r="B3" s="8">
        <v>25</v>
      </c>
      <c r="C3" s="7">
        <f>B3*11/100</f>
        <v>2.75</v>
      </c>
      <c r="D3" s="7">
        <f>B3*6.2/100</f>
        <v>1.55</v>
      </c>
      <c r="E3" s="7">
        <f>B3*50.1/100</f>
        <v>12.525</v>
      </c>
      <c r="F3" s="7">
        <f>B3*305/100</f>
        <v>76.25</v>
      </c>
      <c r="G3" s="7"/>
      <c r="H3" s="7"/>
      <c r="I3" s="1"/>
    </row>
    <row r="4" spans="1:9" x14ac:dyDescent="0.25">
      <c r="A4" s="1" t="s">
        <v>7</v>
      </c>
      <c r="B4" s="8">
        <v>150</v>
      </c>
      <c r="C4" s="7">
        <f>B4*2.8/100</f>
        <v>4.2</v>
      </c>
      <c r="D4" s="7">
        <f>B4*3.5/100</f>
        <v>5.25</v>
      </c>
      <c r="E4" s="7">
        <f>B4*4.7/100</f>
        <v>7.05</v>
      </c>
      <c r="F4" s="7">
        <f>B4*61/100</f>
        <v>91.5</v>
      </c>
      <c r="G4" s="7"/>
      <c r="H4" s="7"/>
      <c r="I4" s="1"/>
    </row>
    <row r="5" spans="1:9" x14ac:dyDescent="0.25">
      <c r="A5" s="1" t="s">
        <v>8</v>
      </c>
      <c r="B5" s="8">
        <v>2</v>
      </c>
      <c r="C5" s="7">
        <f>B5*0.7/100</f>
        <v>1.3999999999999999E-2</v>
      </c>
      <c r="D5" s="7">
        <f>B5*72.5/100</f>
        <v>1.45</v>
      </c>
      <c r="E5" s="7">
        <f>B5*1/100</f>
        <v>0.02</v>
      </c>
      <c r="F5" s="7">
        <f>B5*709/100</f>
        <v>14.18</v>
      </c>
      <c r="G5" s="7"/>
      <c r="H5" s="7"/>
      <c r="I5" s="1"/>
    </row>
    <row r="6" spans="1:9" x14ac:dyDescent="0.25">
      <c r="A6" s="1" t="s">
        <v>9</v>
      </c>
      <c r="B6" s="8">
        <v>5</v>
      </c>
      <c r="C6" s="7">
        <f>B6*0/100</f>
        <v>0</v>
      </c>
      <c r="D6" s="7">
        <f>B6*0/100</f>
        <v>0</v>
      </c>
      <c r="E6" s="7">
        <f>B6*99.8/100</f>
        <v>4.99</v>
      </c>
      <c r="F6" s="7">
        <f>B6*379/100</f>
        <v>18.95</v>
      </c>
      <c r="G6" s="7"/>
      <c r="H6" s="7"/>
      <c r="I6" s="1"/>
    </row>
    <row r="7" spans="1:9" x14ac:dyDescent="0.25">
      <c r="A7" s="2" t="s">
        <v>14</v>
      </c>
      <c r="B7" s="5"/>
      <c r="C7" s="5">
        <f>C3+C4+C5</f>
        <v>6.9640000000000004</v>
      </c>
      <c r="D7" s="5">
        <f>D3+D4+D5+D6</f>
        <v>8.25</v>
      </c>
      <c r="E7" s="5">
        <f>E3+E4+E5+E6</f>
        <v>24.585000000000001</v>
      </c>
      <c r="F7" s="5">
        <f>F3+F4+F5+F6</f>
        <v>200.88</v>
      </c>
      <c r="G7" s="5">
        <v>180</v>
      </c>
      <c r="H7" s="5"/>
      <c r="I7" s="1" t="s">
        <v>289</v>
      </c>
    </row>
    <row r="8" spans="1:9" x14ac:dyDescent="0.25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7</v>
      </c>
      <c r="B9" s="7">
        <v>130</v>
      </c>
      <c r="C9" s="10">
        <f>B9*2.8/100</f>
        <v>3.64</v>
      </c>
      <c r="D9" s="10">
        <f>B9*3.5/100</f>
        <v>4.55</v>
      </c>
      <c r="E9" s="10">
        <f>B9*4.7/100</f>
        <v>6.11</v>
      </c>
      <c r="F9" s="10">
        <f>B9*61/100</f>
        <v>79.3</v>
      </c>
      <c r="G9" s="5"/>
      <c r="H9" s="5"/>
      <c r="I9" s="1"/>
    </row>
    <row r="10" spans="1:9" x14ac:dyDescent="0.25">
      <c r="A10" s="1" t="s">
        <v>89</v>
      </c>
      <c r="B10" s="8">
        <v>1</v>
      </c>
      <c r="C10" s="10">
        <f>B10*24.2/100</f>
        <v>0.24199999999999999</v>
      </c>
      <c r="D10" s="10">
        <f>B10*17.5/100</f>
        <v>0.17499999999999999</v>
      </c>
      <c r="E10" s="10">
        <f>B10*27.9/100</f>
        <v>0.27899999999999997</v>
      </c>
      <c r="F10" s="10">
        <f>B10*373/100</f>
        <v>3.73</v>
      </c>
      <c r="G10" s="5"/>
      <c r="H10" s="5"/>
      <c r="I10" s="1"/>
    </row>
    <row r="11" spans="1:9" x14ac:dyDescent="0.25">
      <c r="A11" s="3" t="s">
        <v>9</v>
      </c>
      <c r="B11" s="11">
        <v>6</v>
      </c>
      <c r="C11" s="10">
        <f>B11*0/100</f>
        <v>0</v>
      </c>
      <c r="D11" s="10">
        <f>B11*0/100</f>
        <v>0</v>
      </c>
      <c r="E11" s="10">
        <f t="shared" ref="E11" si="0">B11*99.8/100</f>
        <v>5.9879999999999995</v>
      </c>
      <c r="F11" s="10">
        <f t="shared" ref="F11:F42" si="1">B11*379/100</f>
        <v>22.74</v>
      </c>
      <c r="G11" s="5">
        <v>180</v>
      </c>
      <c r="H11" s="5"/>
      <c r="I11" s="1"/>
    </row>
    <row r="12" spans="1:9" x14ac:dyDescent="0.25">
      <c r="A12" s="2" t="s">
        <v>14</v>
      </c>
      <c r="B12" s="5"/>
      <c r="C12" s="5">
        <f>C9+C10+C11</f>
        <v>3.8820000000000001</v>
      </c>
      <c r="D12" s="5">
        <f>D9+D10+D11</f>
        <v>4.7249999999999996</v>
      </c>
      <c r="E12" s="5">
        <f>E9+E10+E11</f>
        <v>12.376999999999999</v>
      </c>
      <c r="F12" s="5">
        <f>F9+F10+F11</f>
        <v>105.77</v>
      </c>
      <c r="G12" s="5"/>
      <c r="H12" s="5"/>
      <c r="I12" s="1" t="s">
        <v>217</v>
      </c>
    </row>
    <row r="13" spans="1:9" x14ac:dyDescent="0.25">
      <c r="A13" s="1" t="s">
        <v>12</v>
      </c>
      <c r="B13" s="7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1" t="s">
        <v>8</v>
      </c>
      <c r="B14" s="7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 x14ac:dyDescent="0.25">
      <c r="A15" s="2" t="s">
        <v>75</v>
      </c>
      <c r="B15" s="5"/>
      <c r="C15" s="5">
        <f>C7+C12+C13+C14</f>
        <v>15.522</v>
      </c>
      <c r="D15" s="5">
        <f>D7+D12+D13+D14</f>
        <v>20.574999999999999</v>
      </c>
      <c r="E15" s="5">
        <f>E12+E13+E14</f>
        <v>42.336999999999996</v>
      </c>
      <c r="F15" s="5">
        <f>F7+F12+F13+F14</f>
        <v>520.56999999999994</v>
      </c>
      <c r="G15" s="5">
        <v>428</v>
      </c>
      <c r="H15" s="5"/>
      <c r="I15" s="1"/>
    </row>
    <row r="16" spans="1:9" x14ac:dyDescent="0.25">
      <c r="A16" s="2" t="s">
        <v>145</v>
      </c>
      <c r="B16" s="9">
        <v>120</v>
      </c>
      <c r="C16" s="5">
        <f>B16*0.9/100</f>
        <v>1.08</v>
      </c>
      <c r="D16" s="5">
        <f>B16*0.2/100</f>
        <v>0.24</v>
      </c>
      <c r="E16" s="5">
        <f>B16*8.1/100</f>
        <v>9.7200000000000006</v>
      </c>
      <c r="F16" s="5">
        <f>B16*40/100</f>
        <v>48</v>
      </c>
      <c r="G16" s="5">
        <v>120</v>
      </c>
      <c r="H16" s="5"/>
      <c r="I16" s="1" t="s">
        <v>218</v>
      </c>
    </row>
    <row r="17" spans="1:9" x14ac:dyDescent="0.25">
      <c r="A17" s="2" t="s">
        <v>33</v>
      </c>
      <c r="B17" s="7"/>
      <c r="C17" s="10"/>
      <c r="D17" s="10"/>
      <c r="E17" s="10"/>
      <c r="F17" s="10"/>
      <c r="G17" s="7"/>
      <c r="H17" s="7"/>
      <c r="I17" s="1"/>
    </row>
    <row r="18" spans="1:9" x14ac:dyDescent="0.25">
      <c r="A18" s="2" t="s">
        <v>64</v>
      </c>
      <c r="B18" s="7"/>
      <c r="C18" s="10"/>
      <c r="D18" s="10"/>
      <c r="E18" s="10"/>
      <c r="F18" s="10"/>
      <c r="G18" s="7"/>
      <c r="H18" s="7"/>
      <c r="I18" s="1"/>
    </row>
    <row r="19" spans="1:9" x14ac:dyDescent="0.25">
      <c r="A19" s="1" t="s">
        <v>135</v>
      </c>
      <c r="B19" s="8">
        <v>30</v>
      </c>
      <c r="C19" s="10">
        <f>B19*18.2/100</f>
        <v>5.46</v>
      </c>
      <c r="D19" s="10">
        <f>B19*18.4/100</f>
        <v>5.52</v>
      </c>
      <c r="E19" s="10">
        <f>B19*0.7/100</f>
        <v>0.21</v>
      </c>
      <c r="F19" s="10">
        <f>B19*241/100</f>
        <v>72.3</v>
      </c>
      <c r="G19" s="7"/>
      <c r="H19" s="7"/>
      <c r="I19" s="1"/>
    </row>
    <row r="20" spans="1:9" x14ac:dyDescent="0.25">
      <c r="A20" s="1" t="s">
        <v>66</v>
      </c>
      <c r="B20" s="8">
        <v>9</v>
      </c>
      <c r="C20" s="10">
        <f>B20*7/100</f>
        <v>0.63</v>
      </c>
      <c r="D20" s="10">
        <f>B20*1/100</f>
        <v>0.09</v>
      </c>
      <c r="E20" s="10">
        <f>B20*71.4/100</f>
        <v>6.4260000000000002</v>
      </c>
      <c r="F20" s="10">
        <f>B20*330/100</f>
        <v>29.7</v>
      </c>
      <c r="G20" s="7"/>
      <c r="H20" s="7"/>
      <c r="I20" s="1"/>
    </row>
    <row r="21" spans="1:9" x14ac:dyDescent="0.25">
      <c r="A21" s="1" t="s">
        <v>15</v>
      </c>
      <c r="B21" s="8">
        <v>40</v>
      </c>
      <c r="C21" s="10">
        <f>B21*2/100</f>
        <v>0.8</v>
      </c>
      <c r="D21" s="10">
        <f>B21*0.4/100</f>
        <v>0.16</v>
      </c>
      <c r="E21" s="10">
        <f>B21*17.3/100</f>
        <v>6.92</v>
      </c>
      <c r="F21" s="10">
        <f>B21*80/100</f>
        <v>32</v>
      </c>
      <c r="G21" s="7"/>
      <c r="H21" s="7"/>
      <c r="I21" s="1"/>
    </row>
    <row r="22" spans="1:9" x14ac:dyDescent="0.25">
      <c r="A22" s="1" t="s">
        <v>16</v>
      </c>
      <c r="B22" s="8">
        <v>13</v>
      </c>
      <c r="C22" s="10">
        <f>B22*1.3/100</f>
        <v>0.16900000000000001</v>
      </c>
      <c r="D22" s="10">
        <f>B22*0.1/100</f>
        <v>1.3000000000000001E-2</v>
      </c>
      <c r="E22" s="10">
        <f>B22*8.4/100</f>
        <v>1.0920000000000001</v>
      </c>
      <c r="F22" s="10">
        <f>B22*34/100</f>
        <v>4.42</v>
      </c>
      <c r="G22" s="7"/>
      <c r="H22" s="7"/>
      <c r="I22" s="1"/>
    </row>
    <row r="23" spans="1:9" x14ac:dyDescent="0.25">
      <c r="A23" s="1" t="s">
        <v>20</v>
      </c>
      <c r="B23" s="8">
        <v>13</v>
      </c>
      <c r="C23" s="10">
        <f>B23*1.4/100</f>
        <v>0.182</v>
      </c>
      <c r="D23" s="10">
        <f>B23*0/100</f>
        <v>0</v>
      </c>
      <c r="E23" s="10">
        <f>B23*9.1/100</f>
        <v>1.1830000000000001</v>
      </c>
      <c r="F23" s="10">
        <f t="shared" si="1"/>
        <v>49.27</v>
      </c>
      <c r="G23" s="7"/>
      <c r="H23" s="7"/>
      <c r="I23" s="1"/>
    </row>
    <row r="24" spans="1:9" x14ac:dyDescent="0.25">
      <c r="A24" s="1" t="s">
        <v>28</v>
      </c>
      <c r="B24" s="8">
        <v>4</v>
      </c>
      <c r="C24" s="10">
        <f>B24*4.8/100</f>
        <v>0.192</v>
      </c>
      <c r="D24" s="10">
        <f>B24*0/100</f>
        <v>0</v>
      </c>
      <c r="E24" s="10">
        <f>B24*19/100</f>
        <v>0.76</v>
      </c>
      <c r="F24" s="10">
        <f>B24*99/100</f>
        <v>3.96</v>
      </c>
      <c r="G24" s="7"/>
      <c r="H24" s="7"/>
      <c r="I24" s="1"/>
    </row>
    <row r="25" spans="1:9" x14ac:dyDescent="0.25">
      <c r="A25" s="1" t="s">
        <v>8</v>
      </c>
      <c r="B25" s="8">
        <v>1</v>
      </c>
      <c r="C25" s="10">
        <f>B25*0.7/100</f>
        <v>6.9999999999999993E-3</v>
      </c>
      <c r="D25" s="10">
        <f>B25*72.5/100</f>
        <v>0.72499999999999998</v>
      </c>
      <c r="E25" s="10">
        <f>B25*1/100</f>
        <v>0.01</v>
      </c>
      <c r="F25" s="10">
        <f>B25*709/100</f>
        <v>7.09</v>
      </c>
      <c r="G25" s="7"/>
      <c r="H25" s="7"/>
      <c r="I25" s="1"/>
    </row>
    <row r="26" spans="1:9" x14ac:dyDescent="0.25">
      <c r="A26" s="2" t="s">
        <v>14</v>
      </c>
      <c r="B26" s="5"/>
      <c r="C26" s="5">
        <f>C19+C20+C21+C22+C23+C24+C25</f>
        <v>7.4399999999999995</v>
      </c>
      <c r="D26" s="5">
        <f>D19+D20+D21+D22+D23+D24+D25</f>
        <v>6.5079999999999991</v>
      </c>
      <c r="E26" s="5">
        <f>E19+E20+E21+E22+E23+E24+E25</f>
        <v>16.601000000000003</v>
      </c>
      <c r="F26" s="5">
        <f>F19+F20+F21+F22+F23+F24+F25</f>
        <v>198.74</v>
      </c>
      <c r="G26" s="5">
        <v>180</v>
      </c>
      <c r="H26" s="5"/>
      <c r="I26" s="1" t="s">
        <v>219</v>
      </c>
    </row>
    <row r="27" spans="1:9" x14ac:dyDescent="0.25">
      <c r="A27" s="2" t="s">
        <v>67</v>
      </c>
      <c r="B27" s="7"/>
      <c r="C27" s="10"/>
      <c r="D27" s="10"/>
      <c r="E27" s="10"/>
      <c r="F27" s="10"/>
      <c r="G27" s="7"/>
      <c r="H27" s="7"/>
      <c r="I27" s="1"/>
    </row>
    <row r="28" spans="1:9" x14ac:dyDescent="0.25">
      <c r="A28" s="1" t="s">
        <v>68</v>
      </c>
      <c r="B28" s="8">
        <v>50</v>
      </c>
      <c r="C28" s="10">
        <f>B28*17.9/100</f>
        <v>8.9499999999999993</v>
      </c>
      <c r="D28" s="10">
        <f>B28*3.7/100</f>
        <v>1.85</v>
      </c>
      <c r="E28" s="10">
        <f>B28*0/100</f>
        <v>0</v>
      </c>
      <c r="F28" s="10">
        <f>B28*105/100</f>
        <v>52.5</v>
      </c>
      <c r="G28" s="7"/>
      <c r="H28" s="7"/>
      <c r="I28" s="1"/>
    </row>
    <row r="29" spans="1:9" x14ac:dyDescent="0.25">
      <c r="A29" s="1" t="s">
        <v>70</v>
      </c>
      <c r="B29" s="8">
        <v>5</v>
      </c>
      <c r="C29" s="10">
        <f>B29*10.6/100</f>
        <v>0.53</v>
      </c>
      <c r="D29" s="10">
        <f>B29*1.3/100</f>
        <v>6.5000000000000002E-2</v>
      </c>
      <c r="E29" s="10">
        <f>B29*67.7/100</f>
        <v>3.3849999999999998</v>
      </c>
      <c r="F29" s="10">
        <f>B29*331/100</f>
        <v>16.55</v>
      </c>
      <c r="G29" s="7"/>
      <c r="H29" s="7"/>
      <c r="I29" s="1"/>
    </row>
    <row r="30" spans="1:9" x14ac:dyDescent="0.25">
      <c r="A30" s="1" t="s">
        <v>20</v>
      </c>
      <c r="B30" s="8">
        <v>13</v>
      </c>
      <c r="C30" s="10">
        <f>B30*1.4/100</f>
        <v>0.182</v>
      </c>
      <c r="D30" s="10">
        <f>B30*0/100</f>
        <v>0</v>
      </c>
      <c r="E30" s="10">
        <f>B30*9.1/100</f>
        <v>1.1830000000000001</v>
      </c>
      <c r="F30" s="10">
        <f>B30*41/100</f>
        <v>5.33</v>
      </c>
      <c r="G30" s="7"/>
      <c r="H30" s="7"/>
      <c r="I30" s="1"/>
    </row>
    <row r="31" spans="1:9" x14ac:dyDescent="0.25">
      <c r="A31" s="1" t="s">
        <v>16</v>
      </c>
      <c r="B31" s="8">
        <v>13</v>
      </c>
      <c r="C31" s="10">
        <f>B31*1.3/100</f>
        <v>0.16900000000000001</v>
      </c>
      <c r="D31" s="10">
        <f>B31*0/100</f>
        <v>0</v>
      </c>
      <c r="E31" s="10">
        <f>B31*8.4/100</f>
        <v>1.0920000000000001</v>
      </c>
      <c r="F31" s="10">
        <f>B31*34/100</f>
        <v>4.42</v>
      </c>
      <c r="G31" s="7"/>
      <c r="H31" s="7"/>
      <c r="I31" s="1"/>
    </row>
    <row r="32" spans="1:9" x14ac:dyDescent="0.25">
      <c r="A32" s="1" t="s">
        <v>69</v>
      </c>
      <c r="B32" s="8">
        <v>10</v>
      </c>
      <c r="C32" s="10">
        <f>B32*2.8/100</f>
        <v>0.28000000000000003</v>
      </c>
      <c r="D32" s="10">
        <f>B32*15/100</f>
        <v>1.5</v>
      </c>
      <c r="E32" s="10">
        <f>B32*3.2/100</f>
        <v>0.32</v>
      </c>
      <c r="F32" s="10">
        <f>B32*206/100</f>
        <v>20.6</v>
      </c>
      <c r="G32" s="5"/>
      <c r="H32" s="5"/>
      <c r="I32" s="1"/>
    </row>
    <row r="33" spans="1:9" x14ac:dyDescent="0.25">
      <c r="A33" s="1" t="s">
        <v>8</v>
      </c>
      <c r="B33" s="8">
        <v>2</v>
      </c>
      <c r="C33" s="10">
        <f>B33*0.7/100</f>
        <v>1.3999999999999999E-2</v>
      </c>
      <c r="D33" s="10">
        <f>B33*72.5/100</f>
        <v>1.45</v>
      </c>
      <c r="E33" s="10">
        <f>B33*1/100</f>
        <v>0.02</v>
      </c>
      <c r="F33" s="10">
        <f>B33*709/100</f>
        <v>14.18</v>
      </c>
      <c r="G33" s="7"/>
      <c r="H33" s="7"/>
      <c r="I33" s="1"/>
    </row>
    <row r="34" spans="1:9" x14ac:dyDescent="0.25">
      <c r="A34" s="2" t="s">
        <v>14</v>
      </c>
      <c r="B34" s="5"/>
      <c r="C34" s="5">
        <f>C28+C29+C30+C31+C32+C33</f>
        <v>10.124999999999998</v>
      </c>
      <c r="D34" s="5">
        <f>D28+D29+D30+D31+D32+D33</f>
        <v>4.8650000000000002</v>
      </c>
      <c r="E34" s="5">
        <f>E28+E29+E30+E31+E32+E33</f>
        <v>6</v>
      </c>
      <c r="F34" s="5">
        <f>F28+F29+F30+F31+F32+F33</f>
        <v>113.58000000000001</v>
      </c>
      <c r="G34" s="5" t="s">
        <v>337</v>
      </c>
      <c r="H34" s="5"/>
      <c r="I34" s="1" t="s">
        <v>220</v>
      </c>
    </row>
    <row r="35" spans="1:9" x14ac:dyDescent="0.25">
      <c r="A35" s="2" t="s">
        <v>71</v>
      </c>
      <c r="B35" s="7"/>
      <c r="C35" s="10"/>
      <c r="D35" s="10"/>
      <c r="E35" s="10"/>
      <c r="F35" s="10"/>
      <c r="G35" s="5"/>
      <c r="H35" s="5"/>
      <c r="I35" s="1"/>
    </row>
    <row r="36" spans="1:9" x14ac:dyDescent="0.25">
      <c r="A36" s="1" t="s">
        <v>15</v>
      </c>
      <c r="B36" s="8">
        <v>100</v>
      </c>
      <c r="C36" s="10">
        <f>B36*2/100</f>
        <v>2</v>
      </c>
      <c r="D36" s="10">
        <f>B36*0.4/100</f>
        <v>0.4</v>
      </c>
      <c r="E36" s="10">
        <f>B36*17.3/100</f>
        <v>17.3</v>
      </c>
      <c r="F36" s="10">
        <f>B36*80/100</f>
        <v>80</v>
      </c>
      <c r="G36" s="5"/>
      <c r="H36" s="5"/>
      <c r="I36" s="1"/>
    </row>
    <row r="37" spans="1:9" x14ac:dyDescent="0.25">
      <c r="A37" s="1" t="s">
        <v>7</v>
      </c>
      <c r="B37" s="8">
        <v>40</v>
      </c>
      <c r="C37" s="10">
        <f>B37*2.8/100</f>
        <v>1.1200000000000001</v>
      </c>
      <c r="D37" s="10">
        <f>B37*3.5/100</f>
        <v>1.4</v>
      </c>
      <c r="E37" s="10">
        <f>B37*4.7/100</f>
        <v>1.88</v>
      </c>
      <c r="F37" s="10">
        <f>B37*61/100</f>
        <v>24.4</v>
      </c>
      <c r="G37" s="5"/>
      <c r="H37" s="5"/>
      <c r="I37" s="1"/>
    </row>
    <row r="38" spans="1:9" x14ac:dyDescent="0.25">
      <c r="A38" s="1" t="s">
        <v>8</v>
      </c>
      <c r="B38" s="8">
        <v>2</v>
      </c>
      <c r="C38" s="10">
        <f>B38*0.7/100</f>
        <v>1.3999999999999999E-2</v>
      </c>
      <c r="D38" s="10">
        <f>B38*72.5/100</f>
        <v>1.45</v>
      </c>
      <c r="E38" s="10">
        <f>B38*1/100</f>
        <v>0.02</v>
      </c>
      <c r="F38" s="10">
        <f>B38*709/100</f>
        <v>14.18</v>
      </c>
      <c r="G38" s="5"/>
      <c r="H38" s="5"/>
      <c r="I38" s="1"/>
    </row>
    <row r="39" spans="1:9" x14ac:dyDescent="0.25">
      <c r="A39" s="2" t="s">
        <v>14</v>
      </c>
      <c r="B39" s="5"/>
      <c r="C39" s="5">
        <f>C36+C37+C38</f>
        <v>3.1339999999999999</v>
      </c>
      <c r="D39" s="5">
        <f>D36+D37+D38</f>
        <v>3.25</v>
      </c>
      <c r="E39" s="5">
        <f>E36+E37+E38</f>
        <v>19.2</v>
      </c>
      <c r="F39" s="5">
        <f>F36+F37+F38</f>
        <v>118.58000000000001</v>
      </c>
      <c r="G39" s="5">
        <v>135</v>
      </c>
      <c r="H39" s="5"/>
      <c r="I39" s="1" t="s">
        <v>221</v>
      </c>
    </row>
    <row r="40" spans="1:9" x14ac:dyDescent="0.25">
      <c r="A40" s="2" t="s">
        <v>72</v>
      </c>
      <c r="B40" s="7"/>
      <c r="C40" s="10"/>
      <c r="D40" s="10"/>
      <c r="E40" s="10"/>
      <c r="F40" s="10"/>
      <c r="G40" s="5"/>
      <c r="H40" s="5"/>
      <c r="I40" s="1"/>
    </row>
    <row r="41" spans="1:9" x14ac:dyDescent="0.25">
      <c r="A41" s="1" t="s">
        <v>125</v>
      </c>
      <c r="B41" s="8">
        <v>10</v>
      </c>
      <c r="C41" s="10">
        <f>B41*3.4/100</f>
        <v>0.34</v>
      </c>
      <c r="D41" s="10">
        <f>B41*0/100</f>
        <v>0</v>
      </c>
      <c r="E41" s="10">
        <f>B41*21.5/100</f>
        <v>2.15</v>
      </c>
      <c r="F41" s="10">
        <f>B41*110/100</f>
        <v>11</v>
      </c>
      <c r="G41" s="5"/>
      <c r="H41" s="5"/>
      <c r="I41" s="1"/>
    </row>
    <row r="42" spans="1:9" x14ac:dyDescent="0.25">
      <c r="A42" s="1" t="s">
        <v>9</v>
      </c>
      <c r="B42" s="8">
        <v>6</v>
      </c>
      <c r="C42" s="10">
        <f>B42*0/100</f>
        <v>0</v>
      </c>
      <c r="D42" s="10">
        <f>B42*0/100</f>
        <v>0</v>
      </c>
      <c r="E42" s="10">
        <f>B42*99.8/100</f>
        <v>5.9879999999999995</v>
      </c>
      <c r="F42" s="10">
        <f t="shared" si="1"/>
        <v>22.74</v>
      </c>
      <c r="G42" s="5"/>
      <c r="H42" s="5"/>
      <c r="I42" s="1"/>
    </row>
    <row r="43" spans="1:9" x14ac:dyDescent="0.25">
      <c r="A43" s="2" t="s">
        <v>74</v>
      </c>
      <c r="B43" s="5"/>
      <c r="C43" s="5">
        <f>C41+C42</f>
        <v>0.34</v>
      </c>
      <c r="D43" s="5">
        <f>D41+D42</f>
        <v>0</v>
      </c>
      <c r="E43" s="5">
        <f>E41+E42</f>
        <v>8.1379999999999999</v>
      </c>
      <c r="F43" s="5">
        <f>F41+F42</f>
        <v>33.739999999999995</v>
      </c>
      <c r="G43" s="5">
        <v>180</v>
      </c>
      <c r="H43" s="5"/>
      <c r="I43" s="1" t="s">
        <v>205</v>
      </c>
    </row>
    <row r="44" spans="1:9" x14ac:dyDescent="0.25">
      <c r="A44" s="1" t="s">
        <v>32</v>
      </c>
      <c r="B44" s="8">
        <v>37</v>
      </c>
      <c r="C44" s="10">
        <f>B44*6.6/100</f>
        <v>2.4419999999999997</v>
      </c>
      <c r="D44" s="10">
        <f>B44*1.2/100</f>
        <v>0.44400000000000001</v>
      </c>
      <c r="E44" s="10">
        <f>B44*34.2/100</f>
        <v>12.654000000000002</v>
      </c>
      <c r="F44" s="10">
        <f>B44*181/100</f>
        <v>66.97</v>
      </c>
      <c r="G44" s="5">
        <v>37</v>
      </c>
      <c r="H44" s="5"/>
      <c r="I44" s="1"/>
    </row>
    <row r="45" spans="1:9" ht="20.25" customHeight="1" x14ac:dyDescent="0.25">
      <c r="A45" s="2" t="s">
        <v>14</v>
      </c>
      <c r="B45" s="5"/>
      <c r="C45" s="5">
        <f>C44</f>
        <v>2.4419999999999997</v>
      </c>
      <c r="D45" s="5">
        <f>D44</f>
        <v>0.44400000000000001</v>
      </c>
      <c r="E45" s="5">
        <f>E44</f>
        <v>12.654000000000002</v>
      </c>
      <c r="F45" s="5">
        <f>F44</f>
        <v>66.97</v>
      </c>
      <c r="G45" s="7"/>
      <c r="H45" s="7"/>
      <c r="I45" s="1"/>
    </row>
    <row r="46" spans="1:9" x14ac:dyDescent="0.25">
      <c r="A46" s="2" t="s">
        <v>224</v>
      </c>
      <c r="B46" s="8"/>
      <c r="C46" s="10"/>
      <c r="D46" s="10"/>
      <c r="E46" s="10"/>
      <c r="F46" s="10"/>
      <c r="G46" s="7"/>
      <c r="H46" s="7"/>
      <c r="I46" s="1"/>
    </row>
    <row r="47" spans="1:9" x14ac:dyDescent="0.25">
      <c r="A47" s="1" t="s">
        <v>26</v>
      </c>
      <c r="B47" s="8">
        <v>41</v>
      </c>
      <c r="C47" s="10">
        <f>B47*1.8/100</f>
        <v>0.73799999999999999</v>
      </c>
      <c r="D47" s="10">
        <f>B47*0.1/100</f>
        <v>4.1000000000000009E-2</v>
      </c>
      <c r="E47" s="10">
        <f>B47*4.7/100</f>
        <v>1.9270000000000003</v>
      </c>
      <c r="F47" s="10">
        <f>B47*27/100</f>
        <v>11.07</v>
      </c>
      <c r="G47" s="7"/>
      <c r="H47" s="7"/>
      <c r="I47" s="1"/>
    </row>
    <row r="48" spans="1:9" x14ac:dyDescent="0.25">
      <c r="A48" s="1" t="s">
        <v>16</v>
      </c>
      <c r="B48" s="8">
        <v>9</v>
      </c>
      <c r="C48" s="10">
        <f>B48*1.3/100</f>
        <v>0.11700000000000001</v>
      </c>
      <c r="D48" s="10">
        <f>B48*0.1/100</f>
        <v>9.0000000000000011E-3</v>
      </c>
      <c r="E48" s="10">
        <f>B48*8.4/100</f>
        <v>0.75600000000000012</v>
      </c>
      <c r="F48" s="10">
        <f>B48*34/100</f>
        <v>3.06</v>
      </c>
      <c r="G48" s="7"/>
      <c r="H48" s="7"/>
      <c r="I48" s="1"/>
    </row>
    <row r="49" spans="1:9" x14ac:dyDescent="0.25">
      <c r="A49" s="1" t="s">
        <v>57</v>
      </c>
      <c r="B49" s="8">
        <v>5</v>
      </c>
      <c r="C49" s="10">
        <f>B49*0/100</f>
        <v>0</v>
      </c>
      <c r="D49" s="10">
        <f>B49*99.9/100</f>
        <v>4.9950000000000001</v>
      </c>
      <c r="E49" s="10">
        <f>B49*0/100</f>
        <v>0</v>
      </c>
      <c r="F49" s="10">
        <f>B49*899/100</f>
        <v>44.95</v>
      </c>
      <c r="G49" s="7"/>
      <c r="H49" s="7"/>
      <c r="I49" s="1"/>
    </row>
    <row r="50" spans="1:9" x14ac:dyDescent="0.25">
      <c r="A50" s="2" t="s">
        <v>14</v>
      </c>
      <c r="B50" s="5"/>
      <c r="C50" s="5">
        <f>C47+C48+C49</f>
        <v>0.85499999999999998</v>
      </c>
      <c r="D50" s="5">
        <f>D47+D48+D49</f>
        <v>5.0449999999999999</v>
      </c>
      <c r="E50" s="5">
        <f>E47+E48++E49</f>
        <v>2.6830000000000003</v>
      </c>
      <c r="F50" s="5">
        <f>F47+F48+F49</f>
        <v>59.080000000000005</v>
      </c>
      <c r="G50" s="5">
        <v>55</v>
      </c>
      <c r="H50" s="5"/>
      <c r="I50" s="1" t="s">
        <v>225</v>
      </c>
    </row>
    <row r="51" spans="1:9" ht="24.75" customHeight="1" x14ac:dyDescent="0.25">
      <c r="A51" s="2" t="s">
        <v>76</v>
      </c>
      <c r="B51" s="5"/>
      <c r="C51" s="5">
        <f>C34+C39+C43+C45+C50</f>
        <v>16.895999999999997</v>
      </c>
      <c r="D51" s="5">
        <f>D26+D34+D39+D45+D50</f>
        <v>20.112000000000002</v>
      </c>
      <c r="E51" s="5">
        <f>E26+E34+E39+E43+E45+E50</f>
        <v>65.27600000000001</v>
      </c>
      <c r="F51" s="5">
        <f>F26+F34+F39+F43+F45+F50</f>
        <v>590.69000000000017</v>
      </c>
      <c r="G51" s="5">
        <v>652</v>
      </c>
      <c r="H51" s="5"/>
      <c r="I51" s="1"/>
    </row>
    <row r="52" spans="1:9" ht="21.75" customHeight="1" x14ac:dyDescent="0.25">
      <c r="A52" s="1" t="s">
        <v>196</v>
      </c>
      <c r="B52" s="7">
        <v>3.75</v>
      </c>
      <c r="C52" s="10"/>
      <c r="D52" s="10"/>
      <c r="E52" s="10"/>
      <c r="F52" s="10"/>
      <c r="G52" s="7"/>
      <c r="H52" s="7"/>
      <c r="I52" s="1"/>
    </row>
    <row r="53" spans="1:9" ht="20.25" customHeight="1" x14ac:dyDescent="0.25">
      <c r="A53" s="2" t="s">
        <v>277</v>
      </c>
      <c r="B53" s="16"/>
      <c r="C53" s="16"/>
      <c r="D53" s="16"/>
      <c r="E53" s="16"/>
      <c r="F53" s="16"/>
      <c r="G53" s="7"/>
      <c r="H53" s="7"/>
      <c r="I53" s="1"/>
    </row>
    <row r="54" spans="1:9" ht="20.25" customHeight="1" x14ac:dyDescent="0.25">
      <c r="A54" s="2" t="s">
        <v>188</v>
      </c>
      <c r="B54" s="16"/>
      <c r="C54" s="16"/>
      <c r="D54" s="16"/>
      <c r="E54" s="16"/>
      <c r="F54" s="16"/>
      <c r="G54" s="7"/>
      <c r="H54" s="7"/>
      <c r="I54" s="1"/>
    </row>
    <row r="55" spans="1:9" ht="20.25" customHeight="1" x14ac:dyDescent="0.25">
      <c r="A55" s="1" t="s">
        <v>11</v>
      </c>
      <c r="B55" s="7">
        <v>0.5</v>
      </c>
      <c r="C55" s="10">
        <f>B55*0/100</f>
        <v>0</v>
      </c>
      <c r="D55" s="10">
        <f>B55*0/100</f>
        <v>0</v>
      </c>
      <c r="E55" s="7">
        <f>B55*0/100</f>
        <v>0</v>
      </c>
      <c r="F55" s="10">
        <f>B55*0/100</f>
        <v>0</v>
      </c>
      <c r="G55" s="5"/>
      <c r="H55" s="5"/>
      <c r="I55" s="1"/>
    </row>
    <row r="56" spans="1:9" ht="20.25" customHeight="1" x14ac:dyDescent="0.25">
      <c r="A56" s="1" t="s">
        <v>9</v>
      </c>
      <c r="B56" s="8">
        <v>6</v>
      </c>
      <c r="C56" s="10">
        <f>B56*0/100</f>
        <v>0</v>
      </c>
      <c r="D56" s="10">
        <f>B56*0/100</f>
        <v>0</v>
      </c>
      <c r="E56" s="7">
        <f>B56*99.8/100</f>
        <v>5.9879999999999995</v>
      </c>
      <c r="F56" s="10">
        <f>B56*379/100</f>
        <v>22.74</v>
      </c>
      <c r="G56" s="5"/>
      <c r="H56" s="5"/>
      <c r="I56" s="1"/>
    </row>
    <row r="57" spans="1:9" ht="20.25" customHeight="1" x14ac:dyDescent="0.25">
      <c r="A57" s="2" t="s">
        <v>14</v>
      </c>
      <c r="B57" s="5"/>
      <c r="C57" s="5">
        <v>0</v>
      </c>
      <c r="D57" s="5">
        <v>0</v>
      </c>
      <c r="E57" s="5">
        <f>E56</f>
        <v>5.9879999999999995</v>
      </c>
      <c r="F57" s="5">
        <f>F56</f>
        <v>22.74</v>
      </c>
      <c r="G57" s="5">
        <v>180</v>
      </c>
      <c r="H57" s="5"/>
      <c r="I57" s="1" t="s">
        <v>257</v>
      </c>
    </row>
    <row r="58" spans="1:9" ht="17.25" customHeight="1" x14ac:dyDescent="0.25">
      <c r="A58" s="2" t="s">
        <v>59</v>
      </c>
      <c r="B58" s="7"/>
      <c r="C58" s="10"/>
      <c r="D58" s="10"/>
      <c r="E58" s="10"/>
      <c r="F58" s="7"/>
      <c r="G58" s="7"/>
      <c r="H58" s="7"/>
      <c r="I58" s="1"/>
    </row>
    <row r="59" spans="1:9" ht="20.25" customHeight="1" x14ac:dyDescent="0.25">
      <c r="A59" s="1" t="s">
        <v>60</v>
      </c>
      <c r="B59" s="8">
        <v>150</v>
      </c>
      <c r="C59" s="10">
        <f>B59*16.7/100</f>
        <v>25.05</v>
      </c>
      <c r="D59" s="10">
        <f>B59*9/100</f>
        <v>13.5</v>
      </c>
      <c r="E59" s="10">
        <f>B59*1.9/100</f>
        <v>2.85</v>
      </c>
      <c r="F59" s="7">
        <f>B59*88/100</f>
        <v>132</v>
      </c>
      <c r="G59" s="7"/>
      <c r="H59" s="7"/>
      <c r="I59" s="1"/>
    </row>
    <row r="60" spans="1:9" ht="14.25" customHeight="1" x14ac:dyDescent="0.25">
      <c r="A60" s="1" t="s">
        <v>61</v>
      </c>
      <c r="B60" s="8">
        <v>8</v>
      </c>
      <c r="C60" s="10">
        <f>B60*10.3/100</f>
        <v>0.82400000000000007</v>
      </c>
      <c r="D60" s="10">
        <f>B60*1/100</f>
        <v>0.08</v>
      </c>
      <c r="E60" s="10">
        <f>B60*67.9/100</f>
        <v>5.4320000000000004</v>
      </c>
      <c r="F60" s="7">
        <f>B60*328/100</f>
        <v>26.24</v>
      </c>
      <c r="G60" s="7"/>
      <c r="H60" s="7"/>
      <c r="I60" s="1"/>
    </row>
    <row r="61" spans="1:9" ht="14.25" customHeight="1" x14ac:dyDescent="0.25">
      <c r="A61" s="1" t="s">
        <v>21</v>
      </c>
      <c r="B61" s="8">
        <v>8</v>
      </c>
      <c r="C61" s="10">
        <f>B61*12.7/100</f>
        <v>1.016</v>
      </c>
      <c r="D61" s="10">
        <f>B61*11.5/100</f>
        <v>0.92</v>
      </c>
      <c r="E61" s="10">
        <f>B61*0.7/100</f>
        <v>5.5999999999999994E-2</v>
      </c>
      <c r="F61" s="7">
        <f>B61*157/100</f>
        <v>12.56</v>
      </c>
      <c r="G61" s="7"/>
      <c r="H61" s="7"/>
      <c r="I61" s="1"/>
    </row>
    <row r="62" spans="1:9" ht="14.25" customHeight="1" x14ac:dyDescent="0.25">
      <c r="A62" s="1" t="s">
        <v>16</v>
      </c>
      <c r="B62" s="8">
        <v>30</v>
      </c>
      <c r="C62" s="10">
        <f>B62*1.3/100</f>
        <v>0.39</v>
      </c>
      <c r="D62" s="10">
        <f>B62*0.1/100</f>
        <v>0.03</v>
      </c>
      <c r="E62" s="10">
        <f>B62*8.4/100</f>
        <v>2.52</v>
      </c>
      <c r="F62" s="7">
        <f>B62*34/100</f>
        <v>10.199999999999999</v>
      </c>
      <c r="G62" s="7"/>
      <c r="H62" s="7"/>
      <c r="I62" s="1"/>
    </row>
    <row r="63" spans="1:9" ht="16.5" customHeight="1" x14ac:dyDescent="0.25">
      <c r="A63" s="1" t="s">
        <v>7</v>
      </c>
      <c r="B63" s="8">
        <v>30</v>
      </c>
      <c r="C63" s="10">
        <f>B63*2.8/100</f>
        <v>0.84</v>
      </c>
      <c r="D63" s="10">
        <f>B63*3.5/100</f>
        <v>1.05</v>
      </c>
      <c r="E63" s="10">
        <f>B63*4.7/100</f>
        <v>1.41</v>
      </c>
      <c r="F63" s="7">
        <f>B63*61/100</f>
        <v>18.3</v>
      </c>
      <c r="G63" s="7"/>
      <c r="H63" s="7"/>
      <c r="I63" s="1"/>
    </row>
    <row r="64" spans="1:9" ht="14.25" customHeight="1" x14ac:dyDescent="0.25">
      <c r="A64" s="1" t="s">
        <v>8</v>
      </c>
      <c r="B64" s="8">
        <v>1</v>
      </c>
      <c r="C64" s="10">
        <f>B64*0.7/100</f>
        <v>6.9999999999999993E-3</v>
      </c>
      <c r="D64" s="10">
        <f>B64*72.5/100</f>
        <v>0.72499999999999998</v>
      </c>
      <c r="E64" s="10">
        <f>B64*1/100</f>
        <v>0.01</v>
      </c>
      <c r="F64" s="7">
        <f>B64*709/100</f>
        <v>7.09</v>
      </c>
      <c r="G64" s="7"/>
      <c r="H64" s="7"/>
      <c r="I64" s="1"/>
    </row>
    <row r="65" spans="1:9" ht="15.75" customHeight="1" x14ac:dyDescent="0.25">
      <c r="A65" s="1" t="s">
        <v>57</v>
      </c>
      <c r="B65" s="8">
        <v>4</v>
      </c>
      <c r="C65" s="10">
        <f t="shared" ref="C65" si="2">B65*0/100</f>
        <v>0</v>
      </c>
      <c r="D65" s="10">
        <f>B65*99.9/100</f>
        <v>3.9960000000000004</v>
      </c>
      <c r="E65" s="10">
        <f t="shared" ref="E65" si="3">B65*0/100</f>
        <v>0</v>
      </c>
      <c r="F65" s="7">
        <f>B65*899/100</f>
        <v>35.96</v>
      </c>
      <c r="G65" s="7"/>
      <c r="H65" s="7"/>
      <c r="I65" s="1"/>
    </row>
    <row r="66" spans="1:9" ht="14.25" customHeight="1" x14ac:dyDescent="0.25">
      <c r="A66" s="1" t="s">
        <v>62</v>
      </c>
      <c r="B66" s="8">
        <v>30</v>
      </c>
      <c r="C66" s="10">
        <f>B66*7.2/100</f>
        <v>2.16</v>
      </c>
      <c r="D66" s="10">
        <f>B66*8.5/100</f>
        <v>2.5499999999999998</v>
      </c>
      <c r="E66" s="10">
        <f>B66*56/100</f>
        <v>16.8</v>
      </c>
      <c r="F66" s="7">
        <f>B66*320/100</f>
        <v>96</v>
      </c>
      <c r="G66" s="5"/>
      <c r="H66" s="5"/>
      <c r="I66" s="1"/>
    </row>
    <row r="67" spans="1:9" ht="15" customHeight="1" x14ac:dyDescent="0.25">
      <c r="A67" s="3" t="s">
        <v>9</v>
      </c>
      <c r="B67" s="11">
        <v>9</v>
      </c>
      <c r="C67" s="10">
        <f t="shared" ref="C67" si="4">B67*7.2/100</f>
        <v>0.64800000000000002</v>
      </c>
      <c r="D67" s="10">
        <f t="shared" ref="D67" si="5">B67*8.5/100</f>
        <v>0.76500000000000001</v>
      </c>
      <c r="E67" s="10">
        <f>B67*99.8/100</f>
        <v>8.9819999999999993</v>
      </c>
      <c r="F67" s="10">
        <f>B67*379/100</f>
        <v>34.11</v>
      </c>
      <c r="G67" s="5" t="s">
        <v>78</v>
      </c>
      <c r="H67" s="5"/>
      <c r="I67" s="1"/>
    </row>
    <row r="68" spans="1:9" ht="13.5" customHeight="1" x14ac:dyDescent="0.25">
      <c r="A68" s="2" t="s">
        <v>91</v>
      </c>
      <c r="B68" s="5"/>
      <c r="C68" s="5">
        <f>C59+C60+C61+C62+C63+C64+C65+C66+C67</f>
        <v>30.935000000000002</v>
      </c>
      <c r="D68" s="5">
        <f>D59+D60+D61+D62+D63+D64+D65+D66+D67</f>
        <v>23.616000000000003</v>
      </c>
      <c r="E68" s="5">
        <f>E59+E60+E61+E62+E63+E64+E65+E66+E67</f>
        <v>38.06</v>
      </c>
      <c r="F68" s="5">
        <f>F59+F60+F61+F62+F63+F64+F65+F66+F67</f>
        <v>372.46000000000004</v>
      </c>
      <c r="G68" s="5">
        <v>410</v>
      </c>
      <c r="H68" s="5"/>
      <c r="I68" s="1" t="s">
        <v>216</v>
      </c>
    </row>
    <row r="69" spans="1:9" ht="13.5" customHeight="1" x14ac:dyDescent="0.25">
      <c r="A69" s="2" t="s">
        <v>347</v>
      </c>
      <c r="B69" s="5"/>
      <c r="C69" s="5">
        <v>30.923999999999999</v>
      </c>
      <c r="D69" s="5">
        <v>24.341000000000001</v>
      </c>
      <c r="E69" s="5">
        <v>44.058</v>
      </c>
      <c r="F69" s="5">
        <v>402.29</v>
      </c>
      <c r="G69" s="5"/>
      <c r="H69" s="5"/>
      <c r="I69" s="1"/>
    </row>
    <row r="70" spans="1:9" ht="19.5" customHeight="1" x14ac:dyDescent="0.25">
      <c r="A70" s="2" t="s">
        <v>281</v>
      </c>
      <c r="B70" s="5"/>
      <c r="C70" s="5">
        <f>C15+C16+C51+C68</f>
        <v>64.432999999999993</v>
      </c>
      <c r="D70" s="5">
        <f>D15+D16+D51+D68</f>
        <v>64.543000000000006</v>
      </c>
      <c r="E70" s="5">
        <f>E15+E16+E51+E68</f>
        <v>155.393</v>
      </c>
      <c r="F70" s="5">
        <f>F15+F16+F51+F68</f>
        <v>1531.7200000000003</v>
      </c>
      <c r="G70" s="7"/>
      <c r="H70" s="7"/>
      <c r="I70" s="1"/>
    </row>
    <row r="71" spans="1:9" ht="23.25" customHeight="1" x14ac:dyDescent="0.25">
      <c r="A71" s="2" t="s">
        <v>285</v>
      </c>
      <c r="B71" s="7"/>
      <c r="C71" s="10"/>
      <c r="D71" s="10"/>
      <c r="E71" s="10"/>
      <c r="F71" s="10"/>
      <c r="G71" s="7"/>
      <c r="H71" s="7"/>
      <c r="I71" s="1"/>
    </row>
  </sheetData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A69" sqref="A69"/>
    </sheetView>
  </sheetViews>
  <sheetFormatPr defaultRowHeight="15" x14ac:dyDescent="0.25"/>
  <cols>
    <col min="1" max="1" width="47.7109375" customWidth="1"/>
    <col min="2" max="2" width="7" customWidth="1"/>
    <col min="4" max="5" width="7.85546875" customWidth="1"/>
    <col min="6" max="8" width="7.7109375" customWidth="1"/>
    <col min="9" max="9" width="13.85546875" customWidth="1"/>
  </cols>
  <sheetData>
    <row r="1" spans="1:9" ht="24.75" customHeight="1" x14ac:dyDescent="0.25">
      <c r="A1" s="3" t="s">
        <v>36</v>
      </c>
      <c r="B1" s="10"/>
      <c r="C1" s="10"/>
      <c r="D1" s="10"/>
      <c r="E1" s="10"/>
      <c r="F1" s="10"/>
      <c r="G1" s="10"/>
      <c r="H1" s="7" t="s">
        <v>95</v>
      </c>
      <c r="I1" s="2" t="s">
        <v>197</v>
      </c>
    </row>
    <row r="2" spans="1:9" x14ac:dyDescent="0.25">
      <c r="A2" s="2" t="s">
        <v>332</v>
      </c>
      <c r="B2" s="10"/>
      <c r="C2" s="10"/>
      <c r="D2" s="10"/>
      <c r="E2" s="10"/>
      <c r="F2" s="10"/>
      <c r="G2" s="10"/>
      <c r="H2" s="10"/>
      <c r="I2" s="3"/>
    </row>
    <row r="3" spans="1:9" x14ac:dyDescent="0.25">
      <c r="A3" s="3" t="s">
        <v>333</v>
      </c>
      <c r="B3" s="11">
        <v>25</v>
      </c>
      <c r="C3" s="10">
        <f>B3*11.5/100</f>
        <v>2.875</v>
      </c>
      <c r="D3" s="10">
        <f>B3*3.3/100</f>
        <v>0.82499999999999996</v>
      </c>
      <c r="E3" s="10">
        <f>B3*66.5/100</f>
        <v>16.625</v>
      </c>
      <c r="F3" s="10">
        <f>B3*348/100</f>
        <v>87</v>
      </c>
      <c r="G3" s="10"/>
      <c r="H3" s="10"/>
      <c r="I3" s="3"/>
    </row>
    <row r="4" spans="1:9" x14ac:dyDescent="0.25">
      <c r="A4" s="3" t="s">
        <v>7</v>
      </c>
      <c r="B4" s="10">
        <v>150</v>
      </c>
      <c r="C4" s="10">
        <f>B4*2.8/100</f>
        <v>4.2</v>
      </c>
      <c r="D4" s="10">
        <f>B4*3.5/100</f>
        <v>5.25</v>
      </c>
      <c r="E4" s="10">
        <f t="shared" ref="E4:E6" si="0">B4*66.5/100</f>
        <v>99.75</v>
      </c>
      <c r="F4" s="10">
        <f>B4*61/100</f>
        <v>91.5</v>
      </c>
      <c r="G4" s="10"/>
      <c r="H4" s="10"/>
      <c r="I4" s="3"/>
    </row>
    <row r="5" spans="1:9" x14ac:dyDescent="0.25">
      <c r="A5" s="3" t="s">
        <v>9</v>
      </c>
      <c r="B5" s="11">
        <v>5</v>
      </c>
      <c r="C5" s="10">
        <f>B5*0/100</f>
        <v>0</v>
      </c>
      <c r="D5" s="10">
        <f>B5*0/100</f>
        <v>0</v>
      </c>
      <c r="E5" s="10">
        <f t="shared" si="0"/>
        <v>3.3250000000000002</v>
      </c>
      <c r="F5" s="10">
        <f t="shared" ref="F5:F10" si="1">B5*379/100</f>
        <v>18.95</v>
      </c>
      <c r="G5" s="10"/>
      <c r="H5" s="10"/>
      <c r="I5" s="3"/>
    </row>
    <row r="6" spans="1:9" x14ac:dyDescent="0.25">
      <c r="A6" s="3" t="s">
        <v>8</v>
      </c>
      <c r="B6" s="11">
        <v>2</v>
      </c>
      <c r="C6" s="10">
        <f>B6*0.7/100</f>
        <v>1.3999999999999999E-2</v>
      </c>
      <c r="D6" s="10">
        <f>B6*72.5/100</f>
        <v>1.45</v>
      </c>
      <c r="E6" s="10">
        <f t="shared" si="0"/>
        <v>1.33</v>
      </c>
      <c r="F6" s="10">
        <f>B6*709/100</f>
        <v>14.18</v>
      </c>
      <c r="G6" s="10"/>
      <c r="H6" s="10"/>
      <c r="I6" s="3"/>
    </row>
    <row r="7" spans="1:9" x14ac:dyDescent="0.25">
      <c r="A7" s="2" t="s">
        <v>14</v>
      </c>
      <c r="B7" s="5"/>
      <c r="C7" s="5">
        <f>C3+C4+C5+C6</f>
        <v>7.0890000000000004</v>
      </c>
      <c r="D7" s="5">
        <f>D3+D4+D5+D6</f>
        <v>7.5250000000000004</v>
      </c>
      <c r="E7" s="5">
        <f>E3+E4+E5+E6</f>
        <v>121.03</v>
      </c>
      <c r="F7" s="5">
        <f>F3+F4+F5+F6</f>
        <v>211.63</v>
      </c>
      <c r="G7" s="5">
        <v>180</v>
      </c>
      <c r="H7" s="5"/>
      <c r="I7" s="3" t="s">
        <v>226</v>
      </c>
    </row>
    <row r="8" spans="1:9" x14ac:dyDescent="0.25">
      <c r="A8" s="2" t="s">
        <v>82</v>
      </c>
      <c r="B8" s="10"/>
      <c r="C8" s="10"/>
      <c r="D8" s="10"/>
      <c r="E8" s="10"/>
      <c r="F8" s="10"/>
      <c r="G8" s="10"/>
      <c r="H8" s="10"/>
      <c r="I8" s="3"/>
    </row>
    <row r="9" spans="1:9" x14ac:dyDescent="0.25">
      <c r="A9" s="3" t="s">
        <v>83</v>
      </c>
      <c r="B9" s="11">
        <v>0.6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10"/>
      <c r="H9" s="10"/>
      <c r="I9" s="3"/>
    </row>
    <row r="10" spans="1:9" x14ac:dyDescent="0.25">
      <c r="A10" s="3" t="s">
        <v>9</v>
      </c>
      <c r="B10" s="11">
        <v>6</v>
      </c>
      <c r="C10" s="10">
        <f>B10*0/100</f>
        <v>0</v>
      </c>
      <c r="D10" s="10">
        <f>B10*0/100</f>
        <v>0</v>
      </c>
      <c r="E10" s="10">
        <f>B10*99.8/100</f>
        <v>5.9879999999999995</v>
      </c>
      <c r="F10" s="10">
        <f t="shared" si="1"/>
        <v>22.74</v>
      </c>
      <c r="G10" s="10"/>
      <c r="H10" s="10"/>
      <c r="I10" s="3"/>
    </row>
    <row r="11" spans="1:9" x14ac:dyDescent="0.25">
      <c r="A11" s="3" t="s">
        <v>84</v>
      </c>
      <c r="B11" s="11">
        <v>9</v>
      </c>
      <c r="C11" s="10">
        <f>B11*0.9/100</f>
        <v>8.1000000000000003E-2</v>
      </c>
      <c r="D11" s="10">
        <f>B11*0/100</f>
        <v>0</v>
      </c>
      <c r="E11" s="10">
        <f>B11*3/100</f>
        <v>0.27</v>
      </c>
      <c r="F11" s="10">
        <f>B11*33/100</f>
        <v>2.97</v>
      </c>
      <c r="G11" s="10"/>
      <c r="H11" s="10"/>
      <c r="I11" s="3"/>
    </row>
    <row r="12" spans="1:9" x14ac:dyDescent="0.25">
      <c r="A12" s="2" t="s">
        <v>14</v>
      </c>
      <c r="B12" s="5"/>
      <c r="C12" s="5">
        <f>C9+C10+C11</f>
        <v>8.1000000000000003E-2</v>
      </c>
      <c r="D12" s="5">
        <f>D9+D10+D11</f>
        <v>0</v>
      </c>
      <c r="E12" s="5">
        <f>E10+E11</f>
        <v>6.2579999999999991</v>
      </c>
      <c r="F12" s="5">
        <f>F10+F11</f>
        <v>25.709999999999997</v>
      </c>
      <c r="G12" s="5">
        <v>180</v>
      </c>
      <c r="H12" s="5"/>
      <c r="I12" s="3" t="s">
        <v>227</v>
      </c>
    </row>
    <row r="13" spans="1:9" x14ac:dyDescent="0.25">
      <c r="A13" s="3" t="s">
        <v>12</v>
      </c>
      <c r="B13" s="11">
        <v>60</v>
      </c>
      <c r="C13" s="10">
        <f>B13*7.7/100</f>
        <v>4.62</v>
      </c>
      <c r="D13" s="10">
        <f>B13*3.5/100</f>
        <v>2.1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3"/>
    </row>
    <row r="14" spans="1:9" x14ac:dyDescent="0.25">
      <c r="A14" s="3" t="s">
        <v>8</v>
      </c>
      <c r="B14" s="11">
        <v>8</v>
      </c>
      <c r="C14" s="10">
        <f>B14*7/100</f>
        <v>0.56000000000000005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3"/>
    </row>
    <row r="15" spans="1:9" x14ac:dyDescent="0.25">
      <c r="A15" s="2" t="s">
        <v>13</v>
      </c>
      <c r="B15" s="9">
        <v>15</v>
      </c>
      <c r="C15" s="5">
        <f>B15*23/100</f>
        <v>3.45</v>
      </c>
      <c r="D15" s="5">
        <f>B15*29/100</f>
        <v>4.3499999999999996</v>
      </c>
      <c r="E15" s="5">
        <f>B15*0/100</f>
        <v>0</v>
      </c>
      <c r="F15" s="5">
        <f>B15*360/100</f>
        <v>54</v>
      </c>
      <c r="G15" s="5">
        <v>15</v>
      </c>
      <c r="H15" s="5"/>
      <c r="I15" s="3" t="s">
        <v>200</v>
      </c>
    </row>
    <row r="16" spans="1:9" ht="21" customHeight="1" x14ac:dyDescent="0.25">
      <c r="A16" s="2" t="s">
        <v>14</v>
      </c>
      <c r="B16" s="5"/>
      <c r="C16" s="5">
        <f>C13+C14+C15</f>
        <v>8.629999999999999</v>
      </c>
      <c r="D16" s="5">
        <f>D13+D14+D15</f>
        <v>12.25</v>
      </c>
      <c r="E16" s="5">
        <f>E13+E14+E15</f>
        <v>29.959999999999997</v>
      </c>
      <c r="F16" s="5">
        <f>F13+F14+F15</f>
        <v>267.91999999999996</v>
      </c>
      <c r="G16" s="5">
        <v>443</v>
      </c>
      <c r="H16" s="5"/>
      <c r="I16" s="3"/>
    </row>
    <row r="17" spans="1:9" ht="29.25" customHeight="1" x14ac:dyDescent="0.25">
      <c r="A17" s="2" t="s">
        <v>75</v>
      </c>
      <c r="B17" s="5"/>
      <c r="C17" s="5">
        <f>C7+C12+C16</f>
        <v>15.8</v>
      </c>
      <c r="D17" s="5">
        <f>D7+D16</f>
        <v>19.774999999999999</v>
      </c>
      <c r="E17" s="5">
        <f>E7+E12+E16</f>
        <v>157.24799999999999</v>
      </c>
      <c r="F17" s="5">
        <f>F7+F12+F16</f>
        <v>505.26</v>
      </c>
      <c r="G17" s="10"/>
      <c r="H17" s="10"/>
      <c r="I17" s="3"/>
    </row>
    <row r="18" spans="1:9" ht="24" customHeight="1" x14ac:dyDescent="0.25">
      <c r="A18" s="2" t="s">
        <v>192</v>
      </c>
      <c r="B18" s="5">
        <v>120</v>
      </c>
      <c r="C18" s="5">
        <v>6</v>
      </c>
      <c r="D18" s="5">
        <v>1.8</v>
      </c>
      <c r="E18" s="5">
        <v>10.199999999999999</v>
      </c>
      <c r="F18" s="5">
        <v>84</v>
      </c>
      <c r="G18" s="5">
        <v>120</v>
      </c>
      <c r="H18" s="5"/>
      <c r="I18" s="3"/>
    </row>
    <row r="19" spans="1:9" ht="25.5" customHeight="1" x14ac:dyDescent="0.25">
      <c r="A19" s="2" t="s">
        <v>102</v>
      </c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2" t="s">
        <v>85</v>
      </c>
      <c r="B20" s="10"/>
      <c r="C20" s="10"/>
      <c r="D20" s="10"/>
      <c r="E20" s="10"/>
      <c r="F20" s="10"/>
      <c r="G20" s="10"/>
      <c r="H20" s="10"/>
      <c r="I20" s="3"/>
    </row>
    <row r="21" spans="1:9" x14ac:dyDescent="0.25">
      <c r="A21" s="3" t="s">
        <v>41</v>
      </c>
      <c r="B21" s="11">
        <v>30</v>
      </c>
      <c r="C21" s="10">
        <f>B21*18.6/100</f>
        <v>5.58</v>
      </c>
      <c r="D21" s="10">
        <f>B21*16/100</f>
        <v>4.8</v>
      </c>
      <c r="E21" s="10">
        <f>B21*0/100</f>
        <v>0</v>
      </c>
      <c r="F21" s="10">
        <f>B21*218/100</f>
        <v>65.400000000000006</v>
      </c>
      <c r="G21" s="10"/>
      <c r="H21" s="10"/>
      <c r="I21" s="3"/>
    </row>
    <row r="22" spans="1:9" x14ac:dyDescent="0.25">
      <c r="A22" s="3" t="s">
        <v>15</v>
      </c>
      <c r="B22" s="11">
        <v>40</v>
      </c>
      <c r="C22" s="10">
        <f>B22*2/100</f>
        <v>0.8</v>
      </c>
      <c r="D22" s="10">
        <f>B22*0.4/100</f>
        <v>0.16</v>
      </c>
      <c r="E22" s="10">
        <f>B22*17.3/100</f>
        <v>6.92</v>
      </c>
      <c r="F22" s="10">
        <f>B22*80/100</f>
        <v>32</v>
      </c>
      <c r="G22" s="10"/>
      <c r="H22" s="10"/>
      <c r="I22" s="3"/>
    </row>
    <row r="23" spans="1:9" x14ac:dyDescent="0.25">
      <c r="A23" s="3" t="s">
        <v>26</v>
      </c>
      <c r="B23" s="11">
        <v>40</v>
      </c>
      <c r="C23" s="10">
        <f>B23*1.8/100</f>
        <v>0.72</v>
      </c>
      <c r="D23" s="10">
        <f>B23*0.1/100</f>
        <v>0.04</v>
      </c>
      <c r="E23" s="10">
        <f>B23*10/100</f>
        <v>4</v>
      </c>
      <c r="F23" s="10">
        <f>B23*42/100</f>
        <v>16.8</v>
      </c>
      <c r="G23" s="10"/>
      <c r="H23" s="10"/>
      <c r="I23" s="3"/>
    </row>
    <row r="24" spans="1:9" x14ac:dyDescent="0.25">
      <c r="A24" s="3" t="s">
        <v>20</v>
      </c>
      <c r="B24" s="11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10"/>
      <c r="H24" s="10"/>
      <c r="I24" s="3"/>
    </row>
    <row r="25" spans="1:9" x14ac:dyDescent="0.25">
      <c r="A25" s="3" t="s">
        <v>16</v>
      </c>
      <c r="B25" s="11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10"/>
      <c r="H25" s="10"/>
      <c r="I25" s="3"/>
    </row>
    <row r="26" spans="1:9" x14ac:dyDescent="0.25">
      <c r="A26" s="3" t="s">
        <v>28</v>
      </c>
      <c r="B26" s="11">
        <v>4</v>
      </c>
      <c r="C26" s="10">
        <f>B26*4.8/100</f>
        <v>0.192</v>
      </c>
      <c r="D26" s="10">
        <f>B26*0/100</f>
        <v>0</v>
      </c>
      <c r="E26" s="10">
        <f>B26*19/100</f>
        <v>0.76</v>
      </c>
      <c r="F26" s="10">
        <f>B26*99/100</f>
        <v>3.96</v>
      </c>
      <c r="G26" s="10"/>
      <c r="H26" s="10"/>
      <c r="I26" s="3"/>
    </row>
    <row r="27" spans="1:9" x14ac:dyDescent="0.25">
      <c r="A27" s="3" t="s">
        <v>8</v>
      </c>
      <c r="B27" s="11">
        <v>2</v>
      </c>
      <c r="C27" s="10">
        <f>B27*0.7/100</f>
        <v>1.3999999999999999E-2</v>
      </c>
      <c r="D27" s="10">
        <f>B27*72.5/100</f>
        <v>1.45</v>
      </c>
      <c r="E27" s="10">
        <f>B27*1/100</f>
        <v>0.02</v>
      </c>
      <c r="F27" s="10">
        <f>B27*709/100</f>
        <v>14.18</v>
      </c>
      <c r="G27" s="10"/>
      <c r="H27" s="10"/>
      <c r="I27" s="3"/>
    </row>
    <row r="28" spans="1:9" x14ac:dyDescent="0.25">
      <c r="A28" s="3" t="s">
        <v>44</v>
      </c>
      <c r="B28" s="11">
        <v>12</v>
      </c>
      <c r="C28" s="10">
        <f>B28*2.8/100</f>
        <v>0.33599999999999997</v>
      </c>
      <c r="D28" s="10">
        <f>B28*15/100</f>
        <v>1.8</v>
      </c>
      <c r="E28" s="10">
        <f>B28*3.2/100</f>
        <v>0.38400000000000006</v>
      </c>
      <c r="F28" s="10">
        <f>B28*206/100</f>
        <v>24.72</v>
      </c>
      <c r="G28" s="10"/>
      <c r="H28" s="10"/>
      <c r="I28" s="3"/>
    </row>
    <row r="29" spans="1:9" ht="21" customHeight="1" x14ac:dyDescent="0.25">
      <c r="A29" s="2" t="s">
        <v>14</v>
      </c>
      <c r="B29" s="5"/>
      <c r="C29" s="5">
        <f>C21+C22+C23+C24+C25+C26+C27+C28</f>
        <v>7.9930000000000003</v>
      </c>
      <c r="D29" s="5">
        <f>D21+D22+D23+D24+D25+D26+D27+D28</f>
        <v>8.2629999999999999</v>
      </c>
      <c r="E29" s="5">
        <f>E21+E22+E23+E24+E25+E26+E27+E28</f>
        <v>14.359</v>
      </c>
      <c r="F29" s="5">
        <f>F21+F22+F23+F24+F25+F26+F27</f>
        <v>142.09</v>
      </c>
      <c r="G29" s="5" t="s">
        <v>336</v>
      </c>
      <c r="H29" s="5"/>
      <c r="I29" s="3" t="s">
        <v>228</v>
      </c>
    </row>
    <row r="30" spans="1:9" x14ac:dyDescent="0.25">
      <c r="A30" s="2" t="s">
        <v>193</v>
      </c>
      <c r="B30" s="10"/>
      <c r="C30" s="10"/>
      <c r="D30" s="10"/>
      <c r="E30" s="10"/>
      <c r="F30" s="10"/>
      <c r="G30" s="10"/>
      <c r="H30" s="10"/>
      <c r="I30" s="3"/>
    </row>
    <row r="31" spans="1:9" x14ac:dyDescent="0.25">
      <c r="A31" s="3" t="s">
        <v>41</v>
      </c>
      <c r="B31" s="11">
        <v>50</v>
      </c>
      <c r="C31" s="10">
        <f>B31*18.6/100</f>
        <v>9.3000000000000007</v>
      </c>
      <c r="D31" s="10">
        <f>B31*16/100</f>
        <v>8</v>
      </c>
      <c r="E31" s="10">
        <f>B31*0/100</f>
        <v>0</v>
      </c>
      <c r="F31" s="10">
        <f>B31*218/100</f>
        <v>109</v>
      </c>
      <c r="G31" s="10"/>
      <c r="H31" s="10"/>
      <c r="I31" s="3"/>
    </row>
    <row r="32" spans="1:9" x14ac:dyDescent="0.25">
      <c r="A32" s="3" t="s">
        <v>66</v>
      </c>
      <c r="B32" s="11">
        <v>30</v>
      </c>
      <c r="C32" s="10">
        <f>B32*7/100</f>
        <v>2.1</v>
      </c>
      <c r="D32" s="10">
        <f>B32*1/100</f>
        <v>0.3</v>
      </c>
      <c r="E32" s="10">
        <f>B32*71.4/100</f>
        <v>21.42</v>
      </c>
      <c r="F32" s="10">
        <f>B32*330/100</f>
        <v>99</v>
      </c>
      <c r="G32" s="10"/>
      <c r="H32" s="10"/>
      <c r="I32" s="3"/>
    </row>
    <row r="33" spans="1:9" x14ac:dyDescent="0.25">
      <c r="A33" s="3" t="s">
        <v>20</v>
      </c>
      <c r="B33" s="11">
        <v>13</v>
      </c>
      <c r="C33" s="10">
        <f>B33*1.4/100</f>
        <v>0.182</v>
      </c>
      <c r="D33" s="10">
        <f>B33*0/100</f>
        <v>0</v>
      </c>
      <c r="E33" s="10">
        <f>B33*9.1/100</f>
        <v>1.1830000000000001</v>
      </c>
      <c r="F33" s="10">
        <f>B33*41/100</f>
        <v>5.33</v>
      </c>
      <c r="G33" s="10"/>
      <c r="H33" s="10"/>
      <c r="I33" s="3"/>
    </row>
    <row r="34" spans="1:9" x14ac:dyDescent="0.25">
      <c r="A34" s="3" t="s">
        <v>16</v>
      </c>
      <c r="B34" s="11">
        <v>13</v>
      </c>
      <c r="C34" s="10">
        <f>B34*1.3/100</f>
        <v>0.16900000000000001</v>
      </c>
      <c r="D34" s="10">
        <f>B34*0/100</f>
        <v>0</v>
      </c>
      <c r="E34" s="10">
        <f>B34*8.4/100</f>
        <v>1.0920000000000001</v>
      </c>
      <c r="F34" s="10">
        <f>B34*34/100</f>
        <v>4.42</v>
      </c>
      <c r="G34" s="10"/>
      <c r="H34" s="10"/>
      <c r="I34" s="3"/>
    </row>
    <row r="35" spans="1:9" x14ac:dyDescent="0.25">
      <c r="A35" s="3" t="s">
        <v>28</v>
      </c>
      <c r="B35" s="11">
        <v>6</v>
      </c>
      <c r="C35" s="10">
        <f>B35*4.8/100</f>
        <v>0.28799999999999998</v>
      </c>
      <c r="D35" s="10">
        <f>B35*0/100</f>
        <v>0</v>
      </c>
      <c r="E35" s="10">
        <f>B35*19/100</f>
        <v>1.1399999999999999</v>
      </c>
      <c r="F35" s="10">
        <f>B35*99/100</f>
        <v>5.94</v>
      </c>
      <c r="G35" s="10"/>
      <c r="H35" s="10"/>
      <c r="I35" s="3"/>
    </row>
    <row r="36" spans="1:9" x14ac:dyDescent="0.25">
      <c r="A36" s="3" t="s">
        <v>57</v>
      </c>
      <c r="B36" s="11">
        <v>3</v>
      </c>
      <c r="C36" s="10">
        <f>B36*0/100</f>
        <v>0</v>
      </c>
      <c r="D36" s="10">
        <f>B36/99.9/100</f>
        <v>3.0030030030030029E-4</v>
      </c>
      <c r="E36" s="10">
        <f>B36*0/100</f>
        <v>0</v>
      </c>
      <c r="F36" s="10">
        <f>B36*899/100</f>
        <v>26.97</v>
      </c>
      <c r="G36" s="10"/>
      <c r="H36" s="10"/>
      <c r="I36" s="3" t="s">
        <v>229</v>
      </c>
    </row>
    <row r="37" spans="1:9" x14ac:dyDescent="0.25">
      <c r="A37" s="2" t="s">
        <v>14</v>
      </c>
      <c r="B37" s="5"/>
      <c r="C37" s="5">
        <f>C31+C32+C33+C34+C35+C36</f>
        <v>12.039000000000001</v>
      </c>
      <c r="D37" s="21">
        <f>D31+D32+D33+D34+D35+D36</f>
        <v>8.3003003003003002</v>
      </c>
      <c r="E37" s="5">
        <f>E31+E32+E33+E34+E35+E36</f>
        <v>24.835000000000001</v>
      </c>
      <c r="F37" s="5">
        <f>F31+F32+F33+F34+F35+F36</f>
        <v>250.66</v>
      </c>
      <c r="G37" s="5">
        <v>150</v>
      </c>
      <c r="H37" s="5"/>
      <c r="I37" s="3"/>
    </row>
    <row r="38" spans="1:9" x14ac:dyDescent="0.25">
      <c r="A38" s="2" t="s">
        <v>87</v>
      </c>
      <c r="B38" s="10"/>
      <c r="C38" s="10"/>
      <c r="D38" s="10"/>
      <c r="E38" s="10"/>
      <c r="F38" s="10"/>
      <c r="G38" s="5"/>
      <c r="H38" s="5"/>
      <c r="I38" s="3"/>
    </row>
    <row r="39" spans="1:9" x14ac:dyDescent="0.25">
      <c r="A39" s="3" t="s">
        <v>88</v>
      </c>
      <c r="B39" s="10">
        <v>10</v>
      </c>
      <c r="C39" s="10">
        <f>B39*3.4/100</f>
        <v>0.34</v>
      </c>
      <c r="D39" s="10">
        <f>B39*0/100</f>
        <v>0</v>
      </c>
      <c r="E39" s="10">
        <f>B39*21.5/100</f>
        <v>2.15</v>
      </c>
      <c r="F39" s="10">
        <f>B39*110/100</f>
        <v>11</v>
      </c>
      <c r="G39" s="5"/>
      <c r="H39" s="5"/>
      <c r="I39" s="3"/>
    </row>
    <row r="40" spans="1:9" x14ac:dyDescent="0.25">
      <c r="A40" s="3" t="s">
        <v>9</v>
      </c>
      <c r="B40" s="10">
        <v>6</v>
      </c>
      <c r="C40" s="10">
        <f>B40*0/100</f>
        <v>0</v>
      </c>
      <c r="D40" s="10">
        <f>B40*0/100</f>
        <v>0</v>
      </c>
      <c r="E40" s="10">
        <f>B40*99.8/100</f>
        <v>5.9879999999999995</v>
      </c>
      <c r="F40" s="10">
        <f t="shared" ref="F40" si="2">B40*379/100</f>
        <v>22.74</v>
      </c>
      <c r="G40" s="5"/>
      <c r="H40" s="5"/>
      <c r="I40" s="3"/>
    </row>
    <row r="41" spans="1:9" x14ac:dyDescent="0.25">
      <c r="A41" s="2" t="s">
        <v>14</v>
      </c>
      <c r="B41" s="5"/>
      <c r="C41" s="5">
        <f>C39+C40</f>
        <v>0.34</v>
      </c>
      <c r="D41" s="5">
        <f t="shared" ref="D41" si="3">B41*8.5/100</f>
        <v>0</v>
      </c>
      <c r="E41" s="5">
        <f>E39+E40</f>
        <v>8.1379999999999999</v>
      </c>
      <c r="F41" s="5">
        <f>F38+F39+F40</f>
        <v>33.739999999999995</v>
      </c>
      <c r="G41" s="5">
        <v>180</v>
      </c>
      <c r="H41" s="5"/>
      <c r="I41" s="3" t="s">
        <v>230</v>
      </c>
    </row>
    <row r="42" spans="1:9" x14ac:dyDescent="0.25">
      <c r="A42" s="3" t="s">
        <v>32</v>
      </c>
      <c r="B42" s="10">
        <v>37</v>
      </c>
      <c r="C42" s="10">
        <f>B42*6.6/100</f>
        <v>2.4419999999999997</v>
      </c>
      <c r="D42" s="10">
        <f>B42*1.2/100</f>
        <v>0.44400000000000001</v>
      </c>
      <c r="E42" s="10">
        <f>B42*34.2/100</f>
        <v>12.654000000000002</v>
      </c>
      <c r="F42" s="10">
        <f>B42*181/100</f>
        <v>66.97</v>
      </c>
      <c r="G42" s="5">
        <v>37</v>
      </c>
      <c r="H42" s="5"/>
      <c r="I42" s="3"/>
    </row>
    <row r="43" spans="1:9" x14ac:dyDescent="0.25">
      <c r="A43" s="2" t="s">
        <v>14</v>
      </c>
      <c r="B43" s="5"/>
      <c r="C43" s="5">
        <f>C42</f>
        <v>2.4419999999999997</v>
      </c>
      <c r="D43" s="5">
        <f>D42</f>
        <v>0.44400000000000001</v>
      </c>
      <c r="E43" s="5">
        <f>E42</f>
        <v>12.654000000000002</v>
      </c>
      <c r="F43" s="5">
        <f>F42</f>
        <v>66.97</v>
      </c>
      <c r="G43" s="5"/>
      <c r="H43" s="5"/>
      <c r="I43" s="3"/>
    </row>
    <row r="44" spans="1:9" x14ac:dyDescent="0.25">
      <c r="A44" s="2" t="s">
        <v>290</v>
      </c>
      <c r="B44" s="10"/>
      <c r="C44" s="10"/>
      <c r="D44" s="10"/>
      <c r="E44" s="10"/>
      <c r="F44" s="10"/>
      <c r="G44" s="5"/>
      <c r="H44" s="5"/>
      <c r="I44" s="3"/>
    </row>
    <row r="45" spans="1:9" x14ac:dyDescent="0.25">
      <c r="A45" s="3" t="s">
        <v>120</v>
      </c>
      <c r="B45" s="10">
        <v>15</v>
      </c>
      <c r="C45" s="10">
        <f>B45*0.8/100</f>
        <v>0.12</v>
      </c>
      <c r="D45" s="10">
        <f>B45*0.1/100</f>
        <v>1.4999999999999999E-2</v>
      </c>
      <c r="E45" s="10">
        <f>B45*3.4/100</f>
        <v>0.51</v>
      </c>
      <c r="F45" s="10">
        <f>B45*14/100</f>
        <v>2.1</v>
      </c>
      <c r="G45" s="5"/>
      <c r="H45" s="5"/>
      <c r="I45" s="3"/>
    </row>
    <row r="46" spans="1:9" x14ac:dyDescent="0.25">
      <c r="A46" s="3" t="s">
        <v>57</v>
      </c>
      <c r="B46" s="10">
        <v>6</v>
      </c>
      <c r="C46" s="10">
        <f>B46*0/100</f>
        <v>0</v>
      </c>
      <c r="D46" s="10">
        <f>B46*99.9/100</f>
        <v>5.9940000000000007</v>
      </c>
      <c r="E46" s="10">
        <f>B46*0/100</f>
        <v>0</v>
      </c>
      <c r="F46" s="10">
        <f>B46*899/100</f>
        <v>53.94</v>
      </c>
      <c r="G46" s="5"/>
      <c r="H46" s="5"/>
      <c r="I46" s="3"/>
    </row>
    <row r="47" spans="1:9" ht="22.5" customHeight="1" x14ac:dyDescent="0.25">
      <c r="A47" s="3" t="s">
        <v>42</v>
      </c>
      <c r="B47" s="8">
        <v>34</v>
      </c>
      <c r="C47" s="10">
        <f>B47*1.5/100</f>
        <v>0.51</v>
      </c>
      <c r="D47" s="10">
        <f>B47*0.1/100</f>
        <v>3.4000000000000002E-2</v>
      </c>
      <c r="E47" s="7">
        <f>B47*10/100</f>
        <v>3.4</v>
      </c>
      <c r="F47" s="10">
        <f>B47*42/100</f>
        <v>14.28</v>
      </c>
      <c r="G47" s="5">
        <v>55</v>
      </c>
      <c r="H47" s="5"/>
      <c r="I47" s="1"/>
    </row>
    <row r="48" spans="1:9" ht="20.25" customHeight="1" x14ac:dyDescent="0.25">
      <c r="A48" s="2" t="s">
        <v>91</v>
      </c>
      <c r="B48" s="5"/>
      <c r="C48" s="5">
        <f>C45+C46+C47</f>
        <v>0.63</v>
      </c>
      <c r="D48" s="5">
        <f>D45+D46+D47</f>
        <v>6.0430000000000001</v>
      </c>
      <c r="E48" s="5">
        <f>E45+E46+E47</f>
        <v>3.91</v>
      </c>
      <c r="F48" s="5">
        <f>F45+F46+F47</f>
        <v>70.319999999999993</v>
      </c>
      <c r="G48" s="5">
        <v>634</v>
      </c>
      <c r="H48" s="5"/>
      <c r="I48" s="3"/>
    </row>
    <row r="49" spans="1:9" ht="24" customHeight="1" x14ac:dyDescent="0.25">
      <c r="A49" s="2" t="s">
        <v>76</v>
      </c>
      <c r="B49" s="10"/>
      <c r="C49" s="5">
        <f>C29+C37+C41+C43+C48</f>
        <v>23.444000000000003</v>
      </c>
      <c r="D49" s="21">
        <f>D29+D37+D43+D48</f>
        <v>23.050300300300297</v>
      </c>
      <c r="E49" s="5">
        <f>E29+E37+E41+E43+E48</f>
        <v>63.896000000000001</v>
      </c>
      <c r="F49" s="5">
        <f>F29+F37+F41+F43+F48</f>
        <v>563.78</v>
      </c>
      <c r="G49" s="10"/>
      <c r="H49" s="10"/>
      <c r="I49" s="3"/>
    </row>
    <row r="50" spans="1:9" ht="24" customHeight="1" x14ac:dyDescent="0.25">
      <c r="A50" s="3" t="s">
        <v>196</v>
      </c>
      <c r="B50" s="16">
        <v>3.75</v>
      </c>
      <c r="C50" s="10"/>
      <c r="D50" s="10"/>
      <c r="E50" s="10"/>
      <c r="F50" s="10"/>
      <c r="G50" s="10"/>
      <c r="H50" s="10"/>
      <c r="I50" s="3"/>
    </row>
    <row r="51" spans="1:9" ht="22.5" customHeight="1" x14ac:dyDescent="0.25">
      <c r="A51" s="2" t="s">
        <v>277</v>
      </c>
      <c r="B51" s="16"/>
      <c r="C51" s="16"/>
      <c r="D51" s="16"/>
      <c r="E51" s="16"/>
      <c r="F51" s="16"/>
      <c r="G51" s="10"/>
      <c r="H51" s="10"/>
      <c r="I51" s="3"/>
    </row>
    <row r="52" spans="1:9" x14ac:dyDescent="0.25">
      <c r="A52" s="2" t="s">
        <v>77</v>
      </c>
      <c r="B52" s="7"/>
      <c r="C52" s="7">
        <f t="shared" ref="C52" si="4">B52*12.6/100</f>
        <v>0</v>
      </c>
      <c r="D52" s="7">
        <f t="shared" ref="D52" si="5">B52*3.3/100</f>
        <v>0</v>
      </c>
      <c r="E52" s="7">
        <f t="shared" ref="E52" si="6">B52*1/100</f>
        <v>0</v>
      </c>
      <c r="F52" s="7">
        <f t="shared" ref="F52" si="7">B52*379/100</f>
        <v>0</v>
      </c>
      <c r="G52" s="7"/>
      <c r="H52" s="7"/>
      <c r="I52" s="1"/>
    </row>
    <row r="53" spans="1:9" x14ac:dyDescent="0.25">
      <c r="A53" s="1" t="s">
        <v>39</v>
      </c>
      <c r="B53" s="8">
        <v>1.2</v>
      </c>
      <c r="C53" s="7">
        <f>B53*24.2/100</f>
        <v>0.29039999999999999</v>
      </c>
      <c r="D53" s="7">
        <f>B53*17.5/100</f>
        <v>0.21</v>
      </c>
      <c r="E53" s="7">
        <f>B53*27.9/100</f>
        <v>0.33479999999999999</v>
      </c>
      <c r="F53" s="7">
        <f>B53*373/100</f>
        <v>4.476</v>
      </c>
      <c r="G53" s="7"/>
      <c r="H53" s="7"/>
      <c r="I53" s="1"/>
    </row>
    <row r="54" spans="1:9" x14ac:dyDescent="0.25">
      <c r="A54" s="1" t="s">
        <v>7</v>
      </c>
      <c r="B54" s="8">
        <v>130</v>
      </c>
      <c r="C54" s="7">
        <f>B54*2.8/100</f>
        <v>3.64</v>
      </c>
      <c r="D54" s="7">
        <f>B54*3.5/100</f>
        <v>4.55</v>
      </c>
      <c r="E54" s="7">
        <f>B54*4.7/100</f>
        <v>6.11</v>
      </c>
      <c r="F54" s="7">
        <f>B54*61/100</f>
        <v>79.3</v>
      </c>
      <c r="G54" s="7"/>
      <c r="H54" s="7"/>
      <c r="I54" s="1"/>
    </row>
    <row r="55" spans="1:9" x14ac:dyDescent="0.25">
      <c r="A55" s="1" t="s">
        <v>9</v>
      </c>
      <c r="B55" s="8">
        <v>6</v>
      </c>
      <c r="C55" s="7">
        <f>B55*0/100</f>
        <v>0</v>
      </c>
      <c r="D55" s="7">
        <f>B55*0/100</f>
        <v>0</v>
      </c>
      <c r="E55" s="7">
        <f>B55*199.8/100</f>
        <v>11.988000000000001</v>
      </c>
      <c r="F55" s="7">
        <f>B55*379/100</f>
        <v>22.74</v>
      </c>
      <c r="G55" s="5"/>
      <c r="H55" s="5"/>
      <c r="I55" s="1"/>
    </row>
    <row r="56" spans="1:9" x14ac:dyDescent="0.25">
      <c r="A56" s="2" t="s">
        <v>14</v>
      </c>
      <c r="B56" s="5"/>
      <c r="C56" s="5">
        <f>C52+C53+C54</f>
        <v>3.9304000000000001</v>
      </c>
      <c r="D56" s="5">
        <f>D53+D54+D55</f>
        <v>4.76</v>
      </c>
      <c r="E56" s="5">
        <f>E53+E54+E55</f>
        <v>18.4328</v>
      </c>
      <c r="F56" s="5">
        <f>F53+F54+F55</f>
        <v>106.51599999999999</v>
      </c>
      <c r="G56" s="5">
        <v>180</v>
      </c>
      <c r="H56" s="5"/>
      <c r="I56" s="1" t="s">
        <v>208</v>
      </c>
    </row>
    <row r="57" spans="1:9" x14ac:dyDescent="0.25">
      <c r="A57" s="2" t="s">
        <v>292</v>
      </c>
      <c r="B57" s="16"/>
      <c r="C57" s="16"/>
      <c r="D57" s="16"/>
      <c r="E57" s="16"/>
      <c r="F57" s="17"/>
      <c r="G57" s="5"/>
      <c r="H57" s="5"/>
      <c r="I57" s="1"/>
    </row>
    <row r="58" spans="1:9" x14ac:dyDescent="0.25">
      <c r="A58" s="3" t="s">
        <v>48</v>
      </c>
      <c r="B58" s="8">
        <v>40</v>
      </c>
      <c r="C58" s="7">
        <f>B58*10.3/100</f>
        <v>4.12</v>
      </c>
      <c r="D58" s="7">
        <f>B58*1.1/100</f>
        <v>0.44</v>
      </c>
      <c r="E58" s="7">
        <f>B58*69/100</f>
        <v>27.6</v>
      </c>
      <c r="F58" s="7">
        <f>B58*334/100</f>
        <v>133.6</v>
      </c>
      <c r="G58" s="5"/>
      <c r="H58" s="5"/>
      <c r="I58" s="1"/>
    </row>
    <row r="59" spans="1:9" x14ac:dyDescent="0.25">
      <c r="A59" s="3" t="s">
        <v>7</v>
      </c>
      <c r="B59" s="7">
        <v>35</v>
      </c>
      <c r="C59" s="7">
        <f>B59*2.8/100</f>
        <v>0.98</v>
      </c>
      <c r="D59" s="7">
        <f>B59*3.5/100</f>
        <v>1.2250000000000001</v>
      </c>
      <c r="E59" s="7">
        <f>B59*4.7/100</f>
        <v>1.645</v>
      </c>
      <c r="F59" s="7">
        <f>B59*61/100</f>
        <v>21.35</v>
      </c>
      <c r="G59" s="7"/>
      <c r="H59" s="7"/>
      <c r="I59" s="1"/>
    </row>
    <row r="60" spans="1:9" x14ac:dyDescent="0.25">
      <c r="A60" s="3" t="s">
        <v>8</v>
      </c>
      <c r="B60" s="8">
        <v>2</v>
      </c>
      <c r="C60" s="7">
        <f>B60*0.7/100</f>
        <v>1.3999999999999999E-2</v>
      </c>
      <c r="D60" s="7">
        <f>B60*372.5/100</f>
        <v>7.45</v>
      </c>
      <c r="E60" s="7">
        <f>B60*1/100</f>
        <v>0.02</v>
      </c>
      <c r="F60" s="7">
        <f>B60*709/100</f>
        <v>14.18</v>
      </c>
      <c r="G60" s="7"/>
      <c r="H60" s="7"/>
      <c r="I60" s="1"/>
    </row>
    <row r="61" spans="1:9" x14ac:dyDescent="0.25">
      <c r="A61" s="3" t="s">
        <v>57</v>
      </c>
      <c r="B61" s="7">
        <v>3</v>
      </c>
      <c r="C61" s="7">
        <f>B61*0/100</f>
        <v>0</v>
      </c>
      <c r="D61" s="7">
        <f>B61*99.9/100</f>
        <v>2.9970000000000003</v>
      </c>
      <c r="E61" s="7">
        <f>B61*0/100</f>
        <v>0</v>
      </c>
      <c r="F61" s="7">
        <f>B61*899/100</f>
        <v>26.97</v>
      </c>
      <c r="G61" s="7"/>
      <c r="H61" s="7"/>
      <c r="I61" s="1"/>
    </row>
    <row r="62" spans="1:9" x14ac:dyDescent="0.25">
      <c r="A62" s="3" t="s">
        <v>9</v>
      </c>
      <c r="B62" s="8">
        <v>7</v>
      </c>
      <c r="C62" s="7">
        <f>B62*0/100</f>
        <v>0</v>
      </c>
      <c r="D62" s="7">
        <f>B62*0/100</f>
        <v>0</v>
      </c>
      <c r="E62" s="7">
        <f>B62*99.8/100</f>
        <v>6.9860000000000007</v>
      </c>
      <c r="F62" s="7">
        <f>B62*379/100</f>
        <v>26.53</v>
      </c>
      <c r="G62" s="7"/>
      <c r="H62" s="7"/>
      <c r="I62" s="1"/>
    </row>
    <row r="63" spans="1:9" x14ac:dyDescent="0.25">
      <c r="A63" s="3" t="s">
        <v>280</v>
      </c>
      <c r="B63" s="10">
        <v>1.3</v>
      </c>
      <c r="C63" s="10">
        <v>0</v>
      </c>
      <c r="D63" s="10">
        <v>0</v>
      </c>
      <c r="E63" s="10">
        <v>0</v>
      </c>
      <c r="F63" s="10">
        <v>0</v>
      </c>
      <c r="G63" s="5"/>
      <c r="H63" s="5"/>
      <c r="I63" s="1"/>
    </row>
    <row r="64" spans="1:9" x14ac:dyDescent="0.25">
      <c r="A64" s="3" t="s">
        <v>21</v>
      </c>
      <c r="B64" s="8">
        <v>5</v>
      </c>
      <c r="C64" s="7">
        <f>B64*12.7/40</f>
        <v>1.5874999999999999</v>
      </c>
      <c r="D64" s="7">
        <f>B64*11.5/40</f>
        <v>1.4375</v>
      </c>
      <c r="E64" s="7">
        <f>B64*0.7/40</f>
        <v>8.7499999999999994E-2</v>
      </c>
      <c r="F64" s="7">
        <f>B64*157/40</f>
        <v>19.625</v>
      </c>
      <c r="G64" s="7"/>
      <c r="H64" s="7"/>
      <c r="I64" s="1"/>
    </row>
    <row r="65" spans="1:9" x14ac:dyDescent="0.25">
      <c r="A65" s="3" t="s">
        <v>293</v>
      </c>
      <c r="B65" s="8">
        <v>9</v>
      </c>
      <c r="C65" s="10">
        <f>B65*3.4/100</f>
        <v>0.30599999999999999</v>
      </c>
      <c r="D65" s="10">
        <f>B65*0/100</f>
        <v>0</v>
      </c>
      <c r="E65" s="10">
        <f>B65*21.5/100</f>
        <v>1.9350000000000001</v>
      </c>
      <c r="F65" s="7">
        <f>B65*110/100</f>
        <v>9.9</v>
      </c>
      <c r="G65" s="7"/>
      <c r="H65" s="7"/>
      <c r="I65" s="1"/>
    </row>
    <row r="66" spans="1:9" x14ac:dyDescent="0.25">
      <c r="A66" s="2" t="s">
        <v>14</v>
      </c>
      <c r="B66" s="16"/>
      <c r="C66" s="16">
        <f>C58+C59+C60+C61+C62+C63+C64+C65</f>
        <v>7.0074999999999994</v>
      </c>
      <c r="D66" s="16">
        <f>D58+D59+D60+D61+D62+D63+D64+D65</f>
        <v>13.5495</v>
      </c>
      <c r="E66" s="16">
        <f>E58+E59+E60+E61+E62+E63+E64+E65</f>
        <v>38.273500000000006</v>
      </c>
      <c r="F66" s="17">
        <f>F58+F59+F60+F61+F62+F63+F64+F65</f>
        <v>252.155</v>
      </c>
      <c r="G66" s="5">
        <v>85</v>
      </c>
      <c r="H66" s="5"/>
      <c r="I66" s="1" t="s">
        <v>291</v>
      </c>
    </row>
    <row r="67" spans="1:9" x14ac:dyDescent="0.25">
      <c r="A67" s="2" t="s">
        <v>283</v>
      </c>
      <c r="B67" s="16"/>
      <c r="C67" s="16">
        <f>C56+C66</f>
        <v>10.937899999999999</v>
      </c>
      <c r="D67" s="16">
        <f>D56+D66</f>
        <v>18.3095</v>
      </c>
      <c r="E67" s="16">
        <f>E56+E66</f>
        <v>56.706300000000006</v>
      </c>
      <c r="F67" s="17">
        <f>F56+F66</f>
        <v>358.67099999999999</v>
      </c>
      <c r="G67" s="5">
        <v>265</v>
      </c>
      <c r="H67" s="10"/>
      <c r="I67" s="3"/>
    </row>
    <row r="68" spans="1:9" x14ac:dyDescent="0.25">
      <c r="A68" s="2" t="s">
        <v>281</v>
      </c>
      <c r="B68" s="16"/>
      <c r="C68" s="16">
        <f>C17+C18+C49+C67</f>
        <v>56.181899999999999</v>
      </c>
      <c r="D68" s="23">
        <f>D17+D18+D49+D67</f>
        <v>62.934800300300296</v>
      </c>
      <c r="E68" s="16">
        <f>E17+E18+E49+E67</f>
        <v>288.05029999999999</v>
      </c>
      <c r="F68" s="17">
        <f>F17+F18+F49+F67</f>
        <v>1511.711</v>
      </c>
      <c r="G68" s="10"/>
      <c r="H68" s="10"/>
      <c r="I68" s="3"/>
    </row>
    <row r="69" spans="1:9" x14ac:dyDescent="0.25">
      <c r="A69" s="1" t="s">
        <v>295</v>
      </c>
      <c r="B69" s="16"/>
      <c r="C69" s="16"/>
      <c r="D69" s="16"/>
      <c r="E69" s="16"/>
      <c r="F69" s="16"/>
      <c r="G69" s="10"/>
      <c r="H69" s="10"/>
      <c r="I69" s="3"/>
    </row>
  </sheetData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A3" sqref="A3"/>
    </sheetView>
  </sheetViews>
  <sheetFormatPr defaultRowHeight="15" x14ac:dyDescent="0.25"/>
  <cols>
    <col min="1" max="1" width="36" customWidth="1"/>
    <col min="2" max="2" width="7" customWidth="1"/>
    <col min="3" max="3" width="8.42578125" customWidth="1"/>
    <col min="4" max="4" width="8" customWidth="1"/>
    <col min="5" max="5" width="7.7109375" customWidth="1"/>
    <col min="7" max="8" width="7.42578125" customWidth="1"/>
    <col min="9" max="9" width="13.5703125" customWidth="1"/>
  </cols>
  <sheetData>
    <row r="1" spans="1:9" x14ac:dyDescent="0.25">
      <c r="A1" s="1" t="s">
        <v>36</v>
      </c>
      <c r="B1" s="7"/>
      <c r="C1" s="10"/>
      <c r="D1" s="10"/>
      <c r="E1" s="10"/>
      <c r="F1" s="10"/>
      <c r="G1" s="7"/>
      <c r="H1" s="7" t="s">
        <v>79</v>
      </c>
      <c r="I1" s="2" t="s">
        <v>197</v>
      </c>
    </row>
    <row r="2" spans="1:9" x14ac:dyDescent="0.25">
      <c r="A2" s="2" t="s">
        <v>297</v>
      </c>
      <c r="B2" s="7"/>
      <c r="C2" s="7"/>
      <c r="D2" s="7"/>
      <c r="E2" s="7"/>
      <c r="F2" s="7"/>
      <c r="G2" s="7"/>
      <c r="H2" s="7"/>
      <c r="I2" s="1"/>
    </row>
    <row r="3" spans="1:9" x14ac:dyDescent="0.25">
      <c r="A3" s="1" t="s">
        <v>353</v>
      </c>
      <c r="B3" s="8">
        <v>25</v>
      </c>
      <c r="C3" s="7">
        <f>B3*11/100</f>
        <v>2.75</v>
      </c>
      <c r="D3" s="7">
        <f>B3*6.2/100</f>
        <v>1.55</v>
      </c>
      <c r="E3" s="7">
        <f>B3*50.1/100</f>
        <v>12.525</v>
      </c>
      <c r="F3" s="7">
        <f>B3*305/100</f>
        <v>76.25</v>
      </c>
      <c r="G3" s="7"/>
      <c r="H3" s="7"/>
      <c r="I3" s="1"/>
    </row>
    <row r="4" spans="1:9" x14ac:dyDescent="0.25">
      <c r="A4" s="1" t="s">
        <v>7</v>
      </c>
      <c r="B4" s="8">
        <v>150</v>
      </c>
      <c r="C4" s="7">
        <f>B4*2.8/100</f>
        <v>4.2</v>
      </c>
      <c r="D4" s="7">
        <f>B4*3.5/100</f>
        <v>5.25</v>
      </c>
      <c r="E4" s="7">
        <f>B4*4.7/100</f>
        <v>7.05</v>
      </c>
      <c r="F4" s="7">
        <f>B4*61/100</f>
        <v>91.5</v>
      </c>
      <c r="G4" s="7"/>
      <c r="H4" s="7"/>
      <c r="I4" s="1"/>
    </row>
    <row r="5" spans="1:9" x14ac:dyDescent="0.25">
      <c r="A5" s="1" t="s">
        <v>8</v>
      </c>
      <c r="B5" s="8">
        <v>3</v>
      </c>
      <c r="C5" s="7">
        <f>B5*0.7/100</f>
        <v>2.0999999999999998E-2</v>
      </c>
      <c r="D5" s="7">
        <f>B5*72.5/100</f>
        <v>2.1749999999999998</v>
      </c>
      <c r="E5" s="7">
        <f>B5*1/100</f>
        <v>0.03</v>
      </c>
      <c r="F5" s="7">
        <f>B5*709/100</f>
        <v>21.27</v>
      </c>
      <c r="G5" s="7"/>
      <c r="H5" s="7"/>
      <c r="I5" s="1"/>
    </row>
    <row r="6" spans="1:9" x14ac:dyDescent="0.25">
      <c r="A6" s="1" t="s">
        <v>9</v>
      </c>
      <c r="B6" s="8">
        <v>5</v>
      </c>
      <c r="C6" s="7">
        <f>B6*0/100</f>
        <v>0</v>
      </c>
      <c r="D6" s="7">
        <f>B6*0/100</f>
        <v>0</v>
      </c>
      <c r="E6" s="7">
        <f>B6*99.8/100</f>
        <v>4.99</v>
      </c>
      <c r="F6" s="7">
        <f>B6*379/100</f>
        <v>18.95</v>
      </c>
      <c r="G6" s="7"/>
      <c r="H6" s="7"/>
      <c r="I6" s="1"/>
    </row>
    <row r="7" spans="1:9" x14ac:dyDescent="0.25">
      <c r="A7" s="2" t="s">
        <v>14</v>
      </c>
      <c r="B7" s="5"/>
      <c r="C7" s="5">
        <f>C3+C4+C5</f>
        <v>6.9710000000000001</v>
      </c>
      <c r="D7" s="5">
        <f>D3+D4+D5+D6</f>
        <v>8.9749999999999996</v>
      </c>
      <c r="E7" s="5">
        <f>E3+E4+E5+E6</f>
        <v>24.594999999999999</v>
      </c>
      <c r="F7" s="5">
        <f>F3+F4+F5+F6</f>
        <v>207.97</v>
      </c>
      <c r="G7" s="5">
        <v>180</v>
      </c>
      <c r="H7" s="5"/>
      <c r="I7" s="1" t="s">
        <v>296</v>
      </c>
    </row>
    <row r="8" spans="1:9" x14ac:dyDescent="0.25">
      <c r="A8" s="2" t="s">
        <v>98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39</v>
      </c>
      <c r="B9" s="8">
        <v>1</v>
      </c>
      <c r="C9" s="10">
        <f>B9*24.2/100</f>
        <v>0.24199999999999999</v>
      </c>
      <c r="D9" s="10">
        <f>B9*17.5/100</f>
        <v>0.17499999999999999</v>
      </c>
      <c r="E9" s="10">
        <f>B9*27.9/100</f>
        <v>0.27899999999999997</v>
      </c>
      <c r="F9" s="10">
        <f>B9*373/100</f>
        <v>3.73</v>
      </c>
      <c r="G9" s="5"/>
      <c r="H9" s="5"/>
      <c r="I9" s="1"/>
    </row>
    <row r="10" spans="1:9" x14ac:dyDescent="0.25">
      <c r="A10" s="1" t="s">
        <v>99</v>
      </c>
      <c r="B10" s="8">
        <v>130</v>
      </c>
      <c r="C10" s="10">
        <f>B10*2.8/100</f>
        <v>3.64</v>
      </c>
      <c r="D10" s="10">
        <f>B10*3.5/100</f>
        <v>4.55</v>
      </c>
      <c r="E10" s="10">
        <f>B10*4.7/100</f>
        <v>6.11</v>
      </c>
      <c r="F10" s="10">
        <f>B10*61/100</f>
        <v>79.3</v>
      </c>
      <c r="G10" s="5"/>
      <c r="H10" s="5"/>
      <c r="I10" s="1"/>
    </row>
    <row r="11" spans="1:9" x14ac:dyDescent="0.25">
      <c r="A11" s="1" t="s">
        <v>9</v>
      </c>
      <c r="B11" s="8">
        <v>6</v>
      </c>
      <c r="C11" s="10">
        <f>B11*0/100</f>
        <v>0</v>
      </c>
      <c r="D11" s="10">
        <f>B11*0/100</f>
        <v>0</v>
      </c>
      <c r="E11" s="10">
        <f>B11*99.8/100</f>
        <v>5.9879999999999995</v>
      </c>
      <c r="F11" s="10">
        <f t="shared" ref="F11" si="0">B11*379/100</f>
        <v>22.74</v>
      </c>
      <c r="G11" s="5"/>
      <c r="H11" s="5"/>
      <c r="I11" s="1"/>
    </row>
    <row r="12" spans="1:9" x14ac:dyDescent="0.25">
      <c r="A12" s="2" t="s">
        <v>74</v>
      </c>
      <c r="B12" s="5"/>
      <c r="C12" s="5">
        <f>C9+C10+C11</f>
        <v>3.8820000000000001</v>
      </c>
      <c r="D12" s="5">
        <f>D9+D10+D11</f>
        <v>4.7249999999999996</v>
      </c>
      <c r="E12" s="5">
        <f>E9+E10+E11</f>
        <v>12.376999999999999</v>
      </c>
      <c r="F12" s="5">
        <f>F9+F10+F11</f>
        <v>105.77</v>
      </c>
      <c r="G12" s="5">
        <v>180</v>
      </c>
      <c r="H12" s="5"/>
      <c r="I12" s="1" t="s">
        <v>208</v>
      </c>
    </row>
    <row r="13" spans="1:9" x14ac:dyDescent="0.25">
      <c r="A13" s="1" t="s">
        <v>12</v>
      </c>
      <c r="B13" s="7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1" t="s">
        <v>8</v>
      </c>
      <c r="B14" s="7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 x14ac:dyDescent="0.25">
      <c r="A15" s="2" t="s">
        <v>189</v>
      </c>
      <c r="B15" s="9"/>
      <c r="C15" s="5">
        <f>C6+C7+C12+C13+C14</f>
        <v>15.528999999999998</v>
      </c>
      <c r="D15" s="5">
        <f>D6+D7+D12+D13+D14</f>
        <v>21.3</v>
      </c>
      <c r="E15" s="5">
        <f>E6+E7+E12+E13+E14</f>
        <v>71.921999999999997</v>
      </c>
      <c r="F15" s="5">
        <f>F6+F7+F12+F13+F14</f>
        <v>546.61</v>
      </c>
      <c r="G15" s="5">
        <v>428</v>
      </c>
      <c r="H15" s="5"/>
      <c r="I15" s="1"/>
    </row>
    <row r="16" spans="1:9" x14ac:dyDescent="0.25">
      <c r="A16" s="1"/>
      <c r="B16" s="7"/>
      <c r="C16" s="10"/>
      <c r="D16" s="10"/>
      <c r="E16" s="10"/>
      <c r="F16" s="10"/>
      <c r="G16" s="7"/>
      <c r="H16" s="7"/>
      <c r="I16" s="1"/>
    </row>
    <row r="17" spans="1:9" x14ac:dyDescent="0.25">
      <c r="A17" s="1" t="s">
        <v>100</v>
      </c>
      <c r="B17" s="7"/>
      <c r="C17" s="10"/>
      <c r="D17" s="10"/>
      <c r="E17" s="10"/>
      <c r="F17" s="10"/>
      <c r="G17" s="7"/>
      <c r="H17" s="7"/>
      <c r="I17" s="1"/>
    </row>
    <row r="18" spans="1:9" x14ac:dyDescent="0.25">
      <c r="A18" s="2" t="s">
        <v>101</v>
      </c>
      <c r="B18" s="5">
        <v>120</v>
      </c>
      <c r="C18" s="5">
        <f>B18*0.4/100</f>
        <v>0.48</v>
      </c>
      <c r="D18" s="5">
        <f>B18*0.4/100</f>
        <v>0.48</v>
      </c>
      <c r="E18" s="5">
        <f>B18*9.8/100</f>
        <v>11.76</v>
      </c>
      <c r="F18" s="5">
        <f>B18*45/100</f>
        <v>54</v>
      </c>
      <c r="G18" s="5">
        <v>120</v>
      </c>
      <c r="H18" s="5"/>
      <c r="I18" s="1" t="s">
        <v>236</v>
      </c>
    </row>
    <row r="19" spans="1:9" x14ac:dyDescent="0.25">
      <c r="A19" s="1"/>
      <c r="B19" s="7"/>
      <c r="C19" s="10"/>
      <c r="D19" s="10"/>
      <c r="E19" s="10"/>
      <c r="F19" s="10"/>
      <c r="G19" s="7"/>
      <c r="H19" s="7"/>
      <c r="I19" s="1"/>
    </row>
    <row r="20" spans="1:9" ht="20.25" customHeight="1" x14ac:dyDescent="0.25">
      <c r="A20" s="2" t="s">
        <v>102</v>
      </c>
      <c r="B20" s="7"/>
      <c r="C20" s="10"/>
      <c r="D20" s="10"/>
      <c r="E20" s="10"/>
      <c r="F20" s="10"/>
      <c r="G20" s="7"/>
      <c r="H20" s="7"/>
      <c r="I20" s="1"/>
    </row>
    <row r="21" spans="1:9" x14ac:dyDescent="0.25">
      <c r="A21" s="2" t="s">
        <v>231</v>
      </c>
      <c r="B21" s="7"/>
      <c r="C21" s="10"/>
      <c r="D21" s="10"/>
      <c r="E21" s="10"/>
      <c r="F21" s="10"/>
      <c r="G21" s="7"/>
      <c r="H21" s="7"/>
      <c r="I21" s="1"/>
    </row>
    <row r="22" spans="1:9" x14ac:dyDescent="0.25">
      <c r="A22" s="1" t="s">
        <v>232</v>
      </c>
      <c r="B22" s="8">
        <v>50</v>
      </c>
      <c r="C22" s="10">
        <f>B22*20.9/100</f>
        <v>10.45</v>
      </c>
      <c r="D22" s="10">
        <f>B22*5.8/100</f>
        <v>2.9</v>
      </c>
      <c r="E22" s="10">
        <f>B22*0/100</f>
        <v>0</v>
      </c>
      <c r="F22" s="10">
        <f>B22*136/100</f>
        <v>68</v>
      </c>
      <c r="G22" s="7"/>
      <c r="H22" s="7"/>
      <c r="I22" s="1"/>
    </row>
    <row r="23" spans="1:9" x14ac:dyDescent="0.25">
      <c r="A23" s="1" t="s">
        <v>15</v>
      </c>
      <c r="B23" s="8">
        <v>40</v>
      </c>
      <c r="C23" s="10">
        <f>B23*2/100</f>
        <v>0.8</v>
      </c>
      <c r="D23" s="10">
        <f>B23*0.4/100</f>
        <v>0.16</v>
      </c>
      <c r="E23" s="10">
        <f>B23*17.3/100</f>
        <v>6.92</v>
      </c>
      <c r="F23" s="10">
        <f>B23*80/100</f>
        <v>32</v>
      </c>
      <c r="G23" s="7"/>
      <c r="H23" s="7"/>
      <c r="I23" s="1"/>
    </row>
    <row r="24" spans="1:9" x14ac:dyDescent="0.25">
      <c r="A24" s="1" t="s">
        <v>20</v>
      </c>
      <c r="B24" s="8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7"/>
      <c r="H24" s="7"/>
      <c r="I24" s="1"/>
    </row>
    <row r="25" spans="1:9" x14ac:dyDescent="0.25">
      <c r="A25" s="1" t="s">
        <v>16</v>
      </c>
      <c r="B25" s="8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7"/>
      <c r="H25" s="7"/>
      <c r="I25" s="1"/>
    </row>
    <row r="26" spans="1:9" x14ac:dyDescent="0.25">
      <c r="A26" s="1" t="s">
        <v>105</v>
      </c>
      <c r="B26" s="8">
        <v>8</v>
      </c>
      <c r="C26" s="10">
        <f>B26*7/100</f>
        <v>0.56000000000000005</v>
      </c>
      <c r="D26" s="10">
        <f>B26*1/100</f>
        <v>0.08</v>
      </c>
      <c r="E26" s="10">
        <f>B26*71.4/100</f>
        <v>5.7120000000000006</v>
      </c>
      <c r="F26" s="10">
        <f>B26*330/100</f>
        <v>26.4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10">
        <f>B27*0.7/100</f>
        <v>1.3999999999999999E-2</v>
      </c>
      <c r="D27" s="10">
        <f>B27*72.5/100</f>
        <v>1.45</v>
      </c>
      <c r="E27" s="10">
        <f>B27*1/100</f>
        <v>0.02</v>
      </c>
      <c r="F27" s="10">
        <f>B27*709/100</f>
        <v>14.18</v>
      </c>
      <c r="G27" s="7"/>
      <c r="H27" s="7"/>
      <c r="I27" s="1"/>
    </row>
    <row r="28" spans="1:9" x14ac:dyDescent="0.25">
      <c r="A28" s="2" t="s">
        <v>14</v>
      </c>
      <c r="B28" s="5"/>
      <c r="C28" s="5">
        <f>C22+C23+C24+C25+C26+C27</f>
        <v>12.175000000000001</v>
      </c>
      <c r="D28" s="5">
        <f>D22+D23+D24+D25+D26+D27</f>
        <v>4.6029999999999998</v>
      </c>
      <c r="E28" s="5">
        <f>E22+E23+E24+E25+E26+E27</f>
        <v>14.927</v>
      </c>
      <c r="F28" s="5">
        <f>F22+F23+F24+F25+F26+F27</f>
        <v>150.33000000000001</v>
      </c>
      <c r="G28" s="5">
        <v>200</v>
      </c>
      <c r="H28" s="5"/>
      <c r="I28" s="1" t="s">
        <v>237</v>
      </c>
    </row>
    <row r="29" spans="1:9" x14ac:dyDescent="0.25">
      <c r="A29" s="2" t="s">
        <v>107</v>
      </c>
      <c r="B29" s="7"/>
      <c r="C29" s="10"/>
      <c r="D29" s="10"/>
      <c r="E29" s="10"/>
      <c r="F29" s="10"/>
      <c r="G29" s="5"/>
      <c r="H29" s="5"/>
      <c r="I29" s="1"/>
    </row>
    <row r="30" spans="1:9" x14ac:dyDescent="0.25">
      <c r="A30" s="1" t="s">
        <v>108</v>
      </c>
      <c r="B30" s="8">
        <v>60</v>
      </c>
      <c r="C30" s="10">
        <f>B30*18.6/100</f>
        <v>11.16</v>
      </c>
      <c r="D30" s="10">
        <f>B30*16/100</f>
        <v>9.6</v>
      </c>
      <c r="E30" s="10">
        <f>B30*0/100</f>
        <v>0</v>
      </c>
      <c r="F30" s="10">
        <f>B30*218/100</f>
        <v>130.80000000000001</v>
      </c>
      <c r="G30" s="5"/>
      <c r="H30" s="5"/>
      <c r="I30" s="1"/>
    </row>
    <row r="31" spans="1:9" x14ac:dyDescent="0.25">
      <c r="A31" s="1" t="s">
        <v>20</v>
      </c>
      <c r="B31" s="8">
        <v>13</v>
      </c>
      <c r="C31" s="10">
        <f>B31*1.4/100</f>
        <v>0.182</v>
      </c>
      <c r="D31" s="10">
        <f>B31*0/100</f>
        <v>0</v>
      </c>
      <c r="E31" s="10">
        <f>B31*9.1/100</f>
        <v>1.1830000000000001</v>
      </c>
      <c r="F31" s="10">
        <f>B31*41/100</f>
        <v>5.33</v>
      </c>
      <c r="G31" s="5"/>
      <c r="H31" s="5"/>
      <c r="I31" s="1"/>
    </row>
    <row r="32" spans="1:9" x14ac:dyDescent="0.25">
      <c r="A32" s="1" t="s">
        <v>21</v>
      </c>
      <c r="B32" s="8">
        <v>6</v>
      </c>
      <c r="C32" s="10">
        <f>B32*12.7/100</f>
        <v>0.7619999999999999</v>
      </c>
      <c r="D32" s="10">
        <f>B32*11.5/100</f>
        <v>0.69</v>
      </c>
      <c r="E32" s="10">
        <f>B32*0.7/100</f>
        <v>4.1999999999999996E-2</v>
      </c>
      <c r="F32" s="10">
        <f>B32*157/100</f>
        <v>9.42</v>
      </c>
      <c r="G32" s="5"/>
      <c r="H32" s="5"/>
      <c r="I32" s="1"/>
    </row>
    <row r="33" spans="1:9" x14ac:dyDescent="0.25">
      <c r="A33" s="1" t="s">
        <v>12</v>
      </c>
      <c r="B33" s="8">
        <v>10</v>
      </c>
      <c r="C33" s="10">
        <f>B33*7.7/100</f>
        <v>0.77</v>
      </c>
      <c r="D33" s="10">
        <f>B33*3/100</f>
        <v>0.3</v>
      </c>
      <c r="E33" s="10">
        <f>B33*49.8/100</f>
        <v>4.9800000000000004</v>
      </c>
      <c r="F33" s="10">
        <f>B33*262/100</f>
        <v>26.2</v>
      </c>
      <c r="G33" s="5"/>
      <c r="H33" s="5"/>
      <c r="I33" s="1"/>
    </row>
    <row r="34" spans="1:9" x14ac:dyDescent="0.25">
      <c r="A34" s="1" t="s">
        <v>57</v>
      </c>
      <c r="B34" s="8">
        <v>3</v>
      </c>
      <c r="C34" s="10">
        <f>B34*0/100</f>
        <v>0</v>
      </c>
      <c r="D34" s="10">
        <f t="shared" ref="D34" si="1">B34*8.5/100</f>
        <v>0.255</v>
      </c>
      <c r="E34" s="10">
        <f>B34*0/100</f>
        <v>0</v>
      </c>
      <c r="F34" s="10">
        <f>B34*899/100</f>
        <v>26.97</v>
      </c>
      <c r="G34" s="5"/>
      <c r="H34" s="5"/>
      <c r="I34" s="1"/>
    </row>
    <row r="35" spans="1:9" x14ac:dyDescent="0.25">
      <c r="A35" s="2" t="s">
        <v>14</v>
      </c>
      <c r="B35" s="5"/>
      <c r="C35" s="5">
        <f>C30+C31+C32+C33+C34</f>
        <v>12.874000000000001</v>
      </c>
      <c r="D35" s="5">
        <f>D30+D31+D32+D33+D34</f>
        <v>10.845000000000001</v>
      </c>
      <c r="E35" s="5">
        <f>E31+E32+E33+E34</f>
        <v>6.2050000000000001</v>
      </c>
      <c r="F35" s="5">
        <f>F30+F31+F32+F33+F34</f>
        <v>198.72</v>
      </c>
      <c r="G35" s="5">
        <v>60</v>
      </c>
      <c r="H35" s="5"/>
      <c r="I35" s="1" t="s">
        <v>238</v>
      </c>
    </row>
    <row r="36" spans="1:9" x14ac:dyDescent="0.25">
      <c r="A36" s="2" t="s">
        <v>109</v>
      </c>
      <c r="B36" s="7"/>
      <c r="C36" s="10"/>
      <c r="D36" s="10"/>
      <c r="E36" s="10"/>
      <c r="F36" s="10"/>
      <c r="G36" s="5"/>
      <c r="H36" s="5"/>
      <c r="I36" s="1"/>
    </row>
    <row r="37" spans="1:9" x14ac:dyDescent="0.25">
      <c r="A37" s="1" t="s">
        <v>26</v>
      </c>
      <c r="B37" s="8">
        <v>80</v>
      </c>
      <c r="C37" s="10">
        <f>B37*1.8/100</f>
        <v>1.44</v>
      </c>
      <c r="D37" s="10">
        <f>B37*0.1/100</f>
        <v>0.08</v>
      </c>
      <c r="E37" s="10">
        <f>B37*4.7/100</f>
        <v>3.76</v>
      </c>
      <c r="F37" s="10">
        <f>B37*27/100</f>
        <v>21.6</v>
      </c>
      <c r="G37" s="5"/>
      <c r="H37" s="5"/>
      <c r="I37" s="1"/>
    </row>
    <row r="38" spans="1:9" x14ac:dyDescent="0.25">
      <c r="A38" s="1" t="s">
        <v>20</v>
      </c>
      <c r="B38" s="8">
        <v>13</v>
      </c>
      <c r="C38" s="10">
        <f>B38*1.4/100</f>
        <v>0.182</v>
      </c>
      <c r="D38" s="10">
        <f>B38*0/100</f>
        <v>0</v>
      </c>
      <c r="E38" s="10">
        <f>B38*9.1/100</f>
        <v>1.1830000000000001</v>
      </c>
      <c r="F38" s="10">
        <f>B38*41/100</f>
        <v>5.33</v>
      </c>
      <c r="G38" s="5"/>
      <c r="H38" s="5"/>
      <c r="I38" s="1"/>
    </row>
    <row r="39" spans="1:9" x14ac:dyDescent="0.25">
      <c r="A39" s="1" t="s">
        <v>16</v>
      </c>
      <c r="B39" s="8">
        <v>13</v>
      </c>
      <c r="C39" s="10">
        <f>B39*1.3/100</f>
        <v>0.16900000000000001</v>
      </c>
      <c r="D39" s="10">
        <f>B39*0.1/100</f>
        <v>1.3000000000000001E-2</v>
      </c>
      <c r="E39" s="10">
        <f>B39*8.4/100</f>
        <v>1.0920000000000001</v>
      </c>
      <c r="F39" s="10">
        <f>B39*34/100</f>
        <v>4.42</v>
      </c>
      <c r="G39" s="5"/>
      <c r="H39" s="5"/>
      <c r="I39" s="1"/>
    </row>
    <row r="40" spans="1:9" x14ac:dyDescent="0.25">
      <c r="A40" s="1" t="s">
        <v>28</v>
      </c>
      <c r="B40" s="8">
        <v>6</v>
      </c>
      <c r="C40" s="10">
        <f>B40*4.8/100</f>
        <v>0.28799999999999998</v>
      </c>
      <c r="D40" s="10">
        <f>B40*0/100</f>
        <v>0</v>
      </c>
      <c r="E40" s="10">
        <f>B40*19/100</f>
        <v>1.1399999999999999</v>
      </c>
      <c r="F40" s="10">
        <f>B40*99/100</f>
        <v>5.94</v>
      </c>
      <c r="G40" s="5"/>
      <c r="H40" s="5"/>
      <c r="I40" s="1"/>
    </row>
    <row r="41" spans="1:9" x14ac:dyDescent="0.25">
      <c r="A41" s="1" t="s">
        <v>57</v>
      </c>
      <c r="B41" s="8">
        <v>3</v>
      </c>
      <c r="C41" s="10">
        <f>B41*0/100</f>
        <v>0</v>
      </c>
      <c r="D41" s="10">
        <f>B41*99.9/100</f>
        <v>2.9970000000000003</v>
      </c>
      <c r="E41" s="10">
        <f>B41*0/100</f>
        <v>0</v>
      </c>
      <c r="F41" s="10">
        <f>B41*899/100</f>
        <v>26.97</v>
      </c>
      <c r="G41" s="5"/>
      <c r="H41" s="5"/>
      <c r="I41" s="1"/>
    </row>
    <row r="42" spans="1:9" x14ac:dyDescent="0.25">
      <c r="A42" s="2" t="s">
        <v>14</v>
      </c>
      <c r="B42" s="5"/>
      <c r="C42" s="5">
        <f>C37+C38+C39+C40+C41</f>
        <v>2.0789999999999997</v>
      </c>
      <c r="D42" s="5">
        <f>D37+D38+D39+D40+D41</f>
        <v>3.0900000000000003</v>
      </c>
      <c r="E42" s="5">
        <f>E37+E38+E39+E40+E41</f>
        <v>7.1749999999999998</v>
      </c>
      <c r="F42" s="5">
        <f>F37+F38+F39+F40+F41</f>
        <v>64.259999999999991</v>
      </c>
      <c r="G42" s="5">
        <v>90</v>
      </c>
      <c r="H42" s="5"/>
      <c r="I42" s="1" t="s">
        <v>239</v>
      </c>
    </row>
    <row r="43" spans="1:9" x14ac:dyDescent="0.25">
      <c r="A43" s="2" t="s">
        <v>265</v>
      </c>
      <c r="B43" s="5">
        <v>40</v>
      </c>
      <c r="C43" s="5">
        <f>B43*0.8/100</f>
        <v>0.32</v>
      </c>
      <c r="D43" s="5">
        <f>B43*0.1/100</f>
        <v>0.04</v>
      </c>
      <c r="E43" s="5">
        <f>B43*3.4/100</f>
        <v>1.36</v>
      </c>
      <c r="F43" s="5">
        <f>B43*14/100</f>
        <v>5.6</v>
      </c>
      <c r="G43" s="5">
        <v>40</v>
      </c>
      <c r="H43" s="5"/>
      <c r="I43" s="1"/>
    </row>
    <row r="44" spans="1:9" x14ac:dyDescent="0.25">
      <c r="A44" s="1" t="s">
        <v>72</v>
      </c>
      <c r="B44" s="7"/>
      <c r="C44" s="10"/>
      <c r="D44" s="10"/>
      <c r="E44" s="10"/>
      <c r="F44" s="10"/>
      <c r="G44" s="5"/>
      <c r="H44" s="5"/>
      <c r="I44" s="1"/>
    </row>
    <row r="45" spans="1:9" x14ac:dyDescent="0.25">
      <c r="A45" s="2" t="s">
        <v>233</v>
      </c>
      <c r="B45" s="8">
        <v>10</v>
      </c>
      <c r="C45" s="10">
        <f>B45*3.4/100</f>
        <v>0.34</v>
      </c>
      <c r="D45" s="10">
        <f>B45*0/100</f>
        <v>0</v>
      </c>
      <c r="E45" s="10">
        <f>B45*21.5/100</f>
        <v>2.15</v>
      </c>
      <c r="F45" s="10">
        <f>B45*110/100</f>
        <v>11</v>
      </c>
      <c r="G45" s="5"/>
      <c r="H45" s="5"/>
      <c r="I45" s="1"/>
    </row>
    <row r="46" spans="1:9" x14ac:dyDescent="0.25">
      <c r="A46" s="1" t="s">
        <v>9</v>
      </c>
      <c r="B46" s="8">
        <v>7</v>
      </c>
      <c r="C46" s="10">
        <f>B46*0/100</f>
        <v>0</v>
      </c>
      <c r="D46" s="10">
        <f>B46*0/100</f>
        <v>0</v>
      </c>
      <c r="E46" s="10">
        <f>B46*99.8/100</f>
        <v>6.9860000000000007</v>
      </c>
      <c r="F46" s="10">
        <f t="shared" ref="F46" si="2">B46*379/100</f>
        <v>26.53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0.34</v>
      </c>
      <c r="D47" s="5">
        <f>D45+D46</f>
        <v>0</v>
      </c>
      <c r="E47" s="5">
        <f>E45+E46</f>
        <v>9.136000000000001</v>
      </c>
      <c r="F47" s="5">
        <f>F45+F46</f>
        <v>37.53</v>
      </c>
      <c r="G47" s="5">
        <v>180</v>
      </c>
      <c r="H47" s="5"/>
      <c r="I47" s="1" t="s">
        <v>240</v>
      </c>
    </row>
    <row r="48" spans="1:9" x14ac:dyDescent="0.25">
      <c r="A48" s="1" t="s">
        <v>32</v>
      </c>
      <c r="B48" s="7">
        <v>37</v>
      </c>
      <c r="C48" s="5">
        <f>B48*6.6/100</f>
        <v>2.4419999999999997</v>
      </c>
      <c r="D48" s="5">
        <f>B48*1.2/100</f>
        <v>0.44400000000000001</v>
      </c>
      <c r="E48" s="5">
        <f>B48*34.2/100</f>
        <v>12.654000000000002</v>
      </c>
      <c r="F48" s="5">
        <f>B48*181/100</f>
        <v>66.97</v>
      </c>
      <c r="G48" s="5">
        <v>37</v>
      </c>
      <c r="H48" s="5"/>
      <c r="I48" s="1"/>
    </row>
    <row r="49" spans="1:9" ht="19.5" customHeight="1" x14ac:dyDescent="0.25">
      <c r="A49" s="2" t="s">
        <v>112</v>
      </c>
      <c r="B49" s="5"/>
      <c r="C49" s="5">
        <f>C28+C35+C42+C43+C47+C48</f>
        <v>30.23</v>
      </c>
      <c r="D49" s="5">
        <f>D28+D35+D42+D43+D48</f>
        <v>19.021999999999998</v>
      </c>
      <c r="E49" s="5">
        <f>E28+E35+E42+E43+E47+E48</f>
        <v>51.457000000000001</v>
      </c>
      <c r="F49" s="5">
        <f>F28+F35+F42+F43+F47+F48</f>
        <v>523.41000000000008</v>
      </c>
      <c r="G49" s="5">
        <v>607</v>
      </c>
      <c r="H49" s="5"/>
      <c r="I49" s="1"/>
    </row>
    <row r="50" spans="1:9" ht="28.5" customHeight="1" x14ac:dyDescent="0.25">
      <c r="A50" s="14" t="s">
        <v>196</v>
      </c>
      <c r="B50" s="16">
        <v>3.75</v>
      </c>
      <c r="C50" s="16"/>
      <c r="D50" s="16"/>
      <c r="E50" s="16"/>
      <c r="F50" s="16"/>
      <c r="G50" s="7"/>
      <c r="H50" s="7"/>
      <c r="I50" s="1"/>
    </row>
    <row r="51" spans="1:9" x14ac:dyDescent="0.25">
      <c r="A51" s="1"/>
      <c r="B51" s="7"/>
      <c r="C51" s="10"/>
      <c r="D51" s="10"/>
      <c r="E51" s="10"/>
      <c r="F51" s="10"/>
      <c r="G51" s="7"/>
      <c r="H51" s="7"/>
      <c r="I51" s="1"/>
    </row>
    <row r="52" spans="1:9" x14ac:dyDescent="0.25">
      <c r="A52" s="1" t="s">
        <v>277</v>
      </c>
      <c r="B52" s="7"/>
      <c r="C52" s="10"/>
      <c r="D52" s="10"/>
      <c r="E52" s="10"/>
      <c r="F52" s="10"/>
      <c r="G52" s="7"/>
      <c r="H52" s="7"/>
      <c r="I52" s="1"/>
    </row>
    <row r="53" spans="1:9" x14ac:dyDescent="0.25">
      <c r="A53" s="2" t="s">
        <v>82</v>
      </c>
      <c r="B53" s="16"/>
      <c r="C53" s="16"/>
      <c r="D53" s="16"/>
      <c r="E53" s="16"/>
      <c r="F53" s="17"/>
      <c r="G53" s="5"/>
      <c r="H53" s="5"/>
      <c r="I53" s="1"/>
    </row>
    <row r="54" spans="1:9" x14ac:dyDescent="0.25">
      <c r="A54" s="3" t="s">
        <v>83</v>
      </c>
      <c r="B54" s="11">
        <v>0.6</v>
      </c>
      <c r="C54" s="10">
        <f>B54*0/100</f>
        <v>0</v>
      </c>
      <c r="D54" s="10">
        <f>B54*0/100</f>
        <v>0</v>
      </c>
      <c r="E54" s="10">
        <f>B54*0/100</f>
        <v>0</v>
      </c>
      <c r="F54" s="10">
        <f>B54*0/100</f>
        <v>0</v>
      </c>
      <c r="G54" s="10"/>
      <c r="H54" s="10"/>
      <c r="I54" s="3"/>
    </row>
    <row r="55" spans="1:9" x14ac:dyDescent="0.25">
      <c r="A55" s="3" t="s">
        <v>9</v>
      </c>
      <c r="B55" s="11">
        <v>6</v>
      </c>
      <c r="C55" s="10">
        <f>B55*0/100</f>
        <v>0</v>
      </c>
      <c r="D55" s="10">
        <f>B55*0/100</f>
        <v>0</v>
      </c>
      <c r="E55" s="10">
        <f>B55*99.8/100</f>
        <v>5.9879999999999995</v>
      </c>
      <c r="F55" s="10">
        <f t="shared" ref="F55" si="3">B55*379/100</f>
        <v>22.74</v>
      </c>
      <c r="G55" s="10"/>
      <c r="H55" s="10"/>
      <c r="I55" s="3"/>
    </row>
    <row r="56" spans="1:9" x14ac:dyDescent="0.25">
      <c r="A56" s="3" t="s">
        <v>84</v>
      </c>
      <c r="B56" s="11">
        <v>8</v>
      </c>
      <c r="C56" s="10">
        <f>B56*0.9/100</f>
        <v>7.2000000000000008E-2</v>
      </c>
      <c r="D56" s="10">
        <f>B56*0/100</f>
        <v>0</v>
      </c>
      <c r="E56" s="10">
        <f>B56*3/100</f>
        <v>0.24</v>
      </c>
      <c r="F56" s="10">
        <f>B56*33/100</f>
        <v>2.64</v>
      </c>
      <c r="G56" s="10"/>
      <c r="H56" s="10"/>
      <c r="I56" s="3"/>
    </row>
    <row r="57" spans="1:9" x14ac:dyDescent="0.25">
      <c r="A57" s="2" t="s">
        <v>14</v>
      </c>
      <c r="B57" s="5"/>
      <c r="C57" s="5">
        <f>C54+C55+C56</f>
        <v>7.2000000000000008E-2</v>
      </c>
      <c r="D57" s="5">
        <f>D54+D55+D56</f>
        <v>0</v>
      </c>
      <c r="E57" s="5">
        <f>E55+E56</f>
        <v>6.2279999999999998</v>
      </c>
      <c r="F57" s="5">
        <f>F55+F56</f>
        <v>25.38</v>
      </c>
      <c r="G57" s="5">
        <v>180</v>
      </c>
      <c r="H57" s="5"/>
      <c r="I57" s="3" t="s">
        <v>227</v>
      </c>
    </row>
    <row r="58" spans="1:9" x14ac:dyDescent="0.25">
      <c r="A58" s="2" t="s">
        <v>96</v>
      </c>
      <c r="B58" s="7"/>
      <c r="C58" s="10"/>
      <c r="D58" s="10"/>
      <c r="E58" s="10"/>
      <c r="F58" s="10"/>
      <c r="G58" s="7"/>
      <c r="H58" s="7"/>
      <c r="I58" s="1"/>
    </row>
    <row r="59" spans="1:9" x14ac:dyDescent="0.25">
      <c r="A59" s="1" t="s">
        <v>21</v>
      </c>
      <c r="B59" s="8">
        <v>90</v>
      </c>
      <c r="C59" s="10">
        <f>B59*12.7/100</f>
        <v>11.43</v>
      </c>
      <c r="D59" s="10">
        <f>B59*11.5/100</f>
        <v>10.35</v>
      </c>
      <c r="E59" s="10">
        <f>B59*0.7/100</f>
        <v>0.62999999999999989</v>
      </c>
      <c r="F59" s="10">
        <f>B59*157/100</f>
        <v>141.30000000000001</v>
      </c>
      <c r="G59" s="7"/>
      <c r="H59" s="7"/>
      <c r="I59" s="1"/>
    </row>
    <row r="60" spans="1:9" x14ac:dyDescent="0.25">
      <c r="A60" s="1" t="s">
        <v>7</v>
      </c>
      <c r="B60" s="8">
        <v>80</v>
      </c>
      <c r="C60" s="10">
        <f>B60*2.8/100</f>
        <v>2.2400000000000002</v>
      </c>
      <c r="D60" s="10">
        <f>B60*3.5/100</f>
        <v>2.8</v>
      </c>
      <c r="E60" s="10">
        <f>B60*4.7/100</f>
        <v>3.76</v>
      </c>
      <c r="F60" s="10">
        <f>B60*61/100</f>
        <v>48.8</v>
      </c>
      <c r="G60" s="7"/>
      <c r="H60" s="7"/>
      <c r="I60" s="1"/>
    </row>
    <row r="61" spans="1:9" x14ac:dyDescent="0.25">
      <c r="A61" s="1" t="s">
        <v>8</v>
      </c>
      <c r="B61" s="8">
        <v>3</v>
      </c>
      <c r="C61" s="10">
        <f>B61*0.7/100</f>
        <v>2.0999999999999998E-2</v>
      </c>
      <c r="D61" s="10">
        <f>B61*72.5/100</f>
        <v>2.1749999999999998</v>
      </c>
      <c r="E61" s="10">
        <f>B61*1/100</f>
        <v>0.03</v>
      </c>
      <c r="F61" s="10">
        <f>B61*709/100</f>
        <v>21.27</v>
      </c>
      <c r="G61" s="5"/>
      <c r="H61" s="5"/>
      <c r="I61" s="1"/>
    </row>
    <row r="62" spans="1:9" x14ac:dyDescent="0.25">
      <c r="A62" s="2" t="s">
        <v>14</v>
      </c>
      <c r="B62" s="5"/>
      <c r="C62" s="5">
        <f>C59+C60+C61</f>
        <v>13.691000000000001</v>
      </c>
      <c r="D62" s="5">
        <f>D59+D60+D61</f>
        <v>15.324999999999999</v>
      </c>
      <c r="E62" s="5">
        <f>E59+E60+E61</f>
        <v>4.42</v>
      </c>
      <c r="F62" s="5">
        <f>F59+F60+F61</f>
        <v>211.37000000000003</v>
      </c>
      <c r="G62" s="5">
        <v>160</v>
      </c>
      <c r="H62" s="5"/>
      <c r="I62" s="1" t="s">
        <v>234</v>
      </c>
    </row>
    <row r="63" spans="1:9" x14ac:dyDescent="0.25">
      <c r="A63" s="2" t="s">
        <v>97</v>
      </c>
      <c r="B63" s="9">
        <v>30</v>
      </c>
      <c r="C63" s="5">
        <f>B63*3.2/100</f>
        <v>0.96</v>
      </c>
      <c r="D63" s="5">
        <f>B63*0.2/100</f>
        <v>0.06</v>
      </c>
      <c r="E63" s="5">
        <f>B63*6.5/100</f>
        <v>1.95</v>
      </c>
      <c r="F63" s="5">
        <f>B63*40/100</f>
        <v>12</v>
      </c>
      <c r="G63" s="24">
        <v>30</v>
      </c>
      <c r="H63" s="5"/>
      <c r="I63" s="2" t="s">
        <v>235</v>
      </c>
    </row>
    <row r="64" spans="1:9" x14ac:dyDescent="0.25">
      <c r="A64" s="2" t="s">
        <v>283</v>
      </c>
      <c r="B64" s="5"/>
      <c r="C64" s="5">
        <f>C57+C62+C63</f>
        <v>14.722999999999999</v>
      </c>
      <c r="D64" s="5">
        <f>D57+D62+D63</f>
        <v>15.385</v>
      </c>
      <c r="E64" s="5">
        <f>E57+E62+E63</f>
        <v>12.597999999999999</v>
      </c>
      <c r="F64" s="5">
        <f>F57+F62+F63</f>
        <v>248.75000000000003</v>
      </c>
      <c r="G64" s="5">
        <v>370</v>
      </c>
      <c r="H64" s="7"/>
      <c r="I64" s="1"/>
    </row>
    <row r="65" spans="1:9" x14ac:dyDescent="0.25">
      <c r="A65" s="2" t="s">
        <v>281</v>
      </c>
      <c r="B65" s="5"/>
      <c r="C65" s="5">
        <f>C15+C18+C49+C64</f>
        <v>60.961999999999996</v>
      </c>
      <c r="D65" s="5">
        <f>D15+D18+D49+D64</f>
        <v>56.186999999999998</v>
      </c>
      <c r="E65" s="5">
        <f>E15+E18+E49+E64</f>
        <v>147.73700000000002</v>
      </c>
      <c r="F65" s="5">
        <f>F15+F18+F49+F64</f>
        <v>1372.77</v>
      </c>
      <c r="G65" s="7"/>
      <c r="H65" s="7"/>
      <c r="I65" s="1"/>
    </row>
    <row r="66" spans="1:9" x14ac:dyDescent="0.25">
      <c r="A66" s="1"/>
      <c r="B66" s="7"/>
      <c r="C66" s="10"/>
      <c r="D66" s="10"/>
      <c r="E66" s="10"/>
      <c r="F66" s="10"/>
      <c r="G66" s="7"/>
      <c r="H66" s="7"/>
      <c r="I66" s="1"/>
    </row>
    <row r="67" spans="1:9" x14ac:dyDescent="0.25">
      <c r="A67" s="1" t="s">
        <v>286</v>
      </c>
      <c r="B67" s="7"/>
      <c r="C67" s="10"/>
      <c r="D67" s="10"/>
      <c r="E67" s="10"/>
      <c r="F67" s="10"/>
      <c r="G67" s="7"/>
      <c r="H67" s="7"/>
      <c r="I67" s="1"/>
    </row>
  </sheetData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46" workbookViewId="0">
      <selection activeCell="J70" sqref="J70"/>
    </sheetView>
  </sheetViews>
  <sheetFormatPr defaultRowHeight="15" x14ac:dyDescent="0.25"/>
  <cols>
    <col min="1" max="1" width="36.85546875" customWidth="1"/>
    <col min="2" max="2" width="6.85546875" customWidth="1"/>
    <col min="3" max="3" width="7.85546875" customWidth="1"/>
    <col min="4" max="4" width="7.5703125" customWidth="1"/>
    <col min="5" max="5" width="7.85546875" customWidth="1"/>
    <col min="7" max="8" width="8.140625" customWidth="1"/>
    <col min="9" max="9" width="13.5703125" customWidth="1"/>
  </cols>
  <sheetData>
    <row r="1" spans="1:9" x14ac:dyDescent="0.25">
      <c r="A1" s="15" t="s">
        <v>113</v>
      </c>
      <c r="B1" s="7"/>
      <c r="C1" s="10"/>
      <c r="D1" s="10"/>
      <c r="E1" s="10"/>
      <c r="F1" s="10"/>
      <c r="G1" s="7"/>
      <c r="H1" s="7" t="s">
        <v>114</v>
      </c>
      <c r="I1" s="2" t="s">
        <v>197</v>
      </c>
    </row>
    <row r="2" spans="1:9" ht="22.5" customHeight="1" x14ac:dyDescent="0.25">
      <c r="A2" s="2" t="s">
        <v>36</v>
      </c>
      <c r="B2" s="7"/>
      <c r="C2" s="10"/>
      <c r="D2" s="10"/>
      <c r="E2" s="10"/>
      <c r="F2" s="10"/>
      <c r="G2" s="7"/>
      <c r="H2" s="7"/>
      <c r="I2" s="1"/>
    </row>
    <row r="3" spans="1:9" x14ac:dyDescent="0.25">
      <c r="A3" s="2" t="s">
        <v>115</v>
      </c>
      <c r="B3" s="8"/>
      <c r="C3" s="10"/>
      <c r="D3" s="10"/>
      <c r="E3" s="10"/>
      <c r="F3" s="10"/>
      <c r="G3" s="7"/>
      <c r="H3" s="7"/>
      <c r="I3" s="1"/>
    </row>
    <row r="4" spans="1:9" x14ac:dyDescent="0.25">
      <c r="A4" s="1" t="s">
        <v>61</v>
      </c>
      <c r="B4" s="8">
        <v>23</v>
      </c>
      <c r="C4" s="10">
        <f>B4*10.3/100</f>
        <v>2.3690000000000002</v>
      </c>
      <c r="D4" s="10">
        <f>B4*1/100</f>
        <v>0.23</v>
      </c>
      <c r="E4" s="10">
        <f>B4*67.9/100</f>
        <v>15.617000000000001</v>
      </c>
      <c r="F4" s="10">
        <f>B4*328/100</f>
        <v>75.44</v>
      </c>
      <c r="G4" s="7"/>
      <c r="H4" s="7"/>
      <c r="I4" s="1"/>
    </row>
    <row r="5" spans="1:9" x14ac:dyDescent="0.25">
      <c r="A5" s="1" t="s">
        <v>7</v>
      </c>
      <c r="B5" s="8">
        <v>150</v>
      </c>
      <c r="C5" s="10">
        <f>B5*2.8/100</f>
        <v>4.2</v>
      </c>
      <c r="D5" s="10">
        <f>B5*3.5/100</f>
        <v>5.25</v>
      </c>
      <c r="E5" s="10">
        <f>B5*4.7/100</f>
        <v>7.05</v>
      </c>
      <c r="F5" s="10">
        <f>B5*61/100</f>
        <v>91.5</v>
      </c>
      <c r="G5" s="7"/>
      <c r="H5" s="7"/>
      <c r="I5" s="1"/>
    </row>
    <row r="6" spans="1:9" x14ac:dyDescent="0.25">
      <c r="A6" s="1" t="s">
        <v>8</v>
      </c>
      <c r="B6" s="8">
        <v>3</v>
      </c>
      <c r="C6" s="10">
        <f>B6*0.7/100</f>
        <v>2.0999999999999998E-2</v>
      </c>
      <c r="D6" s="10">
        <f>B6*72.5/100</f>
        <v>2.1749999999999998</v>
      </c>
      <c r="E6" s="10">
        <f>B6*1/100</f>
        <v>0.03</v>
      </c>
      <c r="F6" s="10">
        <f>B6*709/100</f>
        <v>21.27</v>
      </c>
      <c r="G6" s="5"/>
      <c r="H6" s="5"/>
      <c r="I6" s="1"/>
    </row>
    <row r="7" spans="1:9" x14ac:dyDescent="0.25">
      <c r="A7" s="1" t="s">
        <v>9</v>
      </c>
      <c r="B7" s="8">
        <v>5</v>
      </c>
      <c r="C7" s="10">
        <f>B7*0/100</f>
        <v>0</v>
      </c>
      <c r="D7" s="10">
        <f>B7*0/100</f>
        <v>0</v>
      </c>
      <c r="E7" s="10">
        <f>B7*99.8/100</f>
        <v>4.99</v>
      </c>
      <c r="F7" s="10">
        <f t="shared" ref="F7:F12" si="0">B7*379/100</f>
        <v>18.95</v>
      </c>
      <c r="G7" s="5"/>
      <c r="H7" s="5"/>
      <c r="I7" s="1"/>
    </row>
    <row r="8" spans="1:9" x14ac:dyDescent="0.25">
      <c r="A8" s="2" t="s">
        <v>14</v>
      </c>
      <c r="B8" s="5"/>
      <c r="C8" s="5">
        <f>C4+C5+C6+C7</f>
        <v>6.5900000000000007</v>
      </c>
      <c r="D8" s="5">
        <f>D4+D5+D6+D7</f>
        <v>7.6550000000000002</v>
      </c>
      <c r="E8" s="5">
        <f>E4+E5+E6+E7</f>
        <v>27.687000000000005</v>
      </c>
      <c r="F8" s="5">
        <f>F4+F5+F6+F7</f>
        <v>207.16</v>
      </c>
      <c r="G8" s="5">
        <v>180</v>
      </c>
      <c r="H8" s="5"/>
      <c r="I8" s="1" t="s">
        <v>241</v>
      </c>
    </row>
    <row r="9" spans="1:9" x14ac:dyDescent="0.25">
      <c r="A9" s="2" t="s">
        <v>63</v>
      </c>
      <c r="B9" s="7"/>
      <c r="C9" s="10"/>
      <c r="D9" s="10"/>
      <c r="E9" s="10"/>
      <c r="F9" s="10"/>
      <c r="G9" s="5"/>
      <c r="H9" s="5"/>
      <c r="I9" s="1"/>
    </row>
    <row r="10" spans="1:9" x14ac:dyDescent="0.25">
      <c r="A10" s="1" t="s">
        <v>116</v>
      </c>
      <c r="B10" s="8">
        <v>1</v>
      </c>
      <c r="C10" s="10">
        <f>B10*24.2/100</f>
        <v>0.24199999999999999</v>
      </c>
      <c r="D10" s="10">
        <f>B10*17.5/100</f>
        <v>0.17499999999999999</v>
      </c>
      <c r="E10" s="10">
        <f>B10*27.9/100</f>
        <v>0.27899999999999997</v>
      </c>
      <c r="F10" s="10">
        <f>B10*373/100</f>
        <v>3.73</v>
      </c>
      <c r="G10" s="5"/>
      <c r="H10" s="5"/>
      <c r="I10" s="1"/>
    </row>
    <row r="11" spans="1:9" x14ac:dyDescent="0.25">
      <c r="A11" s="1" t="s">
        <v>99</v>
      </c>
      <c r="B11" s="8">
        <v>130</v>
      </c>
      <c r="C11" s="10">
        <f>B11*2.8/100</f>
        <v>3.64</v>
      </c>
      <c r="D11" s="10">
        <f>B11*3.5/100</f>
        <v>4.55</v>
      </c>
      <c r="E11" s="10">
        <f>B11*4.7/100</f>
        <v>6.11</v>
      </c>
      <c r="F11" s="10">
        <f>B11*61/100</f>
        <v>79.3</v>
      </c>
      <c r="G11" s="5"/>
      <c r="H11" s="5"/>
      <c r="I11" s="1"/>
    </row>
    <row r="12" spans="1:9" x14ac:dyDescent="0.25">
      <c r="A12" s="1" t="s">
        <v>9</v>
      </c>
      <c r="B12" s="8">
        <v>7</v>
      </c>
      <c r="C12" s="10">
        <f>B12*0/100</f>
        <v>0</v>
      </c>
      <c r="D12" s="10">
        <f>B12*0/100</f>
        <v>0</v>
      </c>
      <c r="E12" s="10">
        <f>B12*99.8/100</f>
        <v>6.9860000000000007</v>
      </c>
      <c r="F12" s="10">
        <f t="shared" si="0"/>
        <v>26.53</v>
      </c>
      <c r="G12" s="5"/>
      <c r="H12" s="5"/>
      <c r="I12" s="1"/>
    </row>
    <row r="13" spans="1:9" x14ac:dyDescent="0.25">
      <c r="A13" s="2" t="s">
        <v>14</v>
      </c>
      <c r="B13" s="5"/>
      <c r="C13" s="5">
        <f>C10+C11+C12</f>
        <v>3.8820000000000001</v>
      </c>
      <c r="D13" s="5">
        <f>D10+D11+D12</f>
        <v>4.7249999999999996</v>
      </c>
      <c r="E13" s="5">
        <f>E10+E11+E12</f>
        <v>13.375</v>
      </c>
      <c r="F13" s="5">
        <f>F10+F11+F12</f>
        <v>109.56</v>
      </c>
      <c r="G13" s="5">
        <v>180</v>
      </c>
      <c r="H13" s="5"/>
      <c r="I13" s="1" t="s">
        <v>217</v>
      </c>
    </row>
    <row r="14" spans="1:9" x14ac:dyDescent="0.25">
      <c r="A14" s="1" t="s">
        <v>12</v>
      </c>
      <c r="B14" s="8">
        <v>60</v>
      </c>
      <c r="C14" s="10">
        <f>B14*7.7/100</f>
        <v>4.62</v>
      </c>
      <c r="D14" s="10">
        <f>B14*3/100</f>
        <v>1.8</v>
      </c>
      <c r="E14" s="10">
        <f>B14*49.8/100</f>
        <v>29.88</v>
      </c>
      <c r="F14" s="10">
        <f>B14*262/100</f>
        <v>157.19999999999999</v>
      </c>
      <c r="G14" s="5">
        <v>60</v>
      </c>
      <c r="H14" s="5"/>
      <c r="I14" s="1"/>
    </row>
    <row r="15" spans="1:9" x14ac:dyDescent="0.25">
      <c r="A15" s="1" t="s">
        <v>8</v>
      </c>
      <c r="B15" s="8">
        <v>8</v>
      </c>
      <c r="C15" s="10">
        <f>B15*0.7/100</f>
        <v>5.5999999999999994E-2</v>
      </c>
      <c r="D15" s="10">
        <f>B15*72.5/100</f>
        <v>5.8</v>
      </c>
      <c r="E15" s="10">
        <f>B15*1/100</f>
        <v>0.08</v>
      </c>
      <c r="F15" s="10">
        <f>B15*709/100</f>
        <v>56.72</v>
      </c>
      <c r="G15" s="5">
        <v>8</v>
      </c>
      <c r="H15" s="5"/>
      <c r="I15" s="1"/>
    </row>
    <row r="16" spans="1:9" x14ac:dyDescent="0.25">
      <c r="A16" s="2" t="s">
        <v>21</v>
      </c>
      <c r="B16" s="8">
        <v>40</v>
      </c>
      <c r="C16" s="10">
        <f>B16*12.7/100</f>
        <v>5.08</v>
      </c>
      <c r="D16" s="10">
        <f>B16*11.5/100</f>
        <v>4.5999999999999996</v>
      </c>
      <c r="E16" s="10">
        <f>B16*0.8/100</f>
        <v>0.32</v>
      </c>
      <c r="F16" s="10">
        <f>B16*157/100</f>
        <v>62.8</v>
      </c>
      <c r="G16" s="5">
        <v>40</v>
      </c>
      <c r="H16" s="5"/>
      <c r="I16" s="1"/>
    </row>
    <row r="17" spans="1:9" x14ac:dyDescent="0.25">
      <c r="A17" s="2" t="s">
        <v>118</v>
      </c>
      <c r="B17" s="5"/>
      <c r="C17" s="5">
        <f>C8+C13+C14+C15+C16</f>
        <v>20.228000000000002</v>
      </c>
      <c r="D17" s="5">
        <f>D8+D13+D14+D15+D16</f>
        <v>24.58</v>
      </c>
      <c r="E17" s="5">
        <f>E8+E13+E14+E15+E16</f>
        <v>71.341999999999999</v>
      </c>
      <c r="F17" s="5">
        <f>F8+F13+F14+F15+F16</f>
        <v>593.43999999999994</v>
      </c>
      <c r="G17" s="5">
        <v>468</v>
      </c>
      <c r="H17" s="5"/>
      <c r="I17" s="1"/>
    </row>
    <row r="18" spans="1:9" x14ac:dyDescent="0.25">
      <c r="A18" s="1"/>
      <c r="B18" s="7"/>
      <c r="C18" s="10"/>
      <c r="D18" s="10"/>
      <c r="E18" s="10"/>
      <c r="F18" s="10"/>
      <c r="G18" s="7"/>
      <c r="H18" s="7"/>
      <c r="I18" s="1"/>
    </row>
    <row r="19" spans="1:9" x14ac:dyDescent="0.25">
      <c r="A19" s="2" t="s">
        <v>119</v>
      </c>
      <c r="B19" s="5">
        <v>120</v>
      </c>
      <c r="C19" s="5">
        <f>B19*1.5/100</f>
        <v>1.8</v>
      </c>
      <c r="D19" s="5">
        <f>B19*0.1/100</f>
        <v>0.12</v>
      </c>
      <c r="E19" s="5">
        <f>B19*19.2/100</f>
        <v>23.04</v>
      </c>
      <c r="F19" s="5">
        <f>B19*89/100</f>
        <v>106.8</v>
      </c>
      <c r="G19" s="5">
        <v>120</v>
      </c>
      <c r="H19" s="5"/>
      <c r="I19" s="1" t="s">
        <v>242</v>
      </c>
    </row>
    <row r="20" spans="1:9" ht="21" customHeight="1" x14ac:dyDescent="0.25">
      <c r="A20" s="2" t="s">
        <v>33</v>
      </c>
      <c r="B20" s="7"/>
      <c r="C20" s="10"/>
      <c r="D20" s="10"/>
      <c r="E20" s="10"/>
      <c r="F20" s="10"/>
      <c r="G20" s="7"/>
      <c r="H20" s="7"/>
      <c r="I20" s="1"/>
    </row>
    <row r="21" spans="1:9" ht="21" customHeight="1" x14ac:dyDescent="0.25">
      <c r="A21" s="2" t="s">
        <v>194</v>
      </c>
      <c r="B21" s="7"/>
      <c r="C21" s="10"/>
      <c r="D21" s="10"/>
      <c r="E21" s="10"/>
      <c r="F21" s="10"/>
      <c r="G21" s="7"/>
      <c r="H21" s="7"/>
      <c r="I21" s="1"/>
    </row>
    <row r="22" spans="1:9" x14ac:dyDescent="0.25">
      <c r="A22" s="1" t="s">
        <v>195</v>
      </c>
      <c r="B22" s="7">
        <v>8</v>
      </c>
      <c r="C22" s="10">
        <f>B22*7/100</f>
        <v>0.56000000000000005</v>
      </c>
      <c r="D22" s="10">
        <f>B22*1/100</f>
        <v>0.08</v>
      </c>
      <c r="E22" s="10">
        <f>B22*71.4/100</f>
        <v>5.7120000000000006</v>
      </c>
      <c r="F22" s="10">
        <f>B22*329/100</f>
        <v>26.32</v>
      </c>
      <c r="G22" s="7"/>
      <c r="H22" s="7"/>
      <c r="I22" s="1"/>
    </row>
    <row r="23" spans="1:9" x14ac:dyDescent="0.25">
      <c r="A23" s="1" t="s">
        <v>44</v>
      </c>
      <c r="B23" s="7">
        <v>10</v>
      </c>
      <c r="C23" s="10">
        <f>B23*2.8/100</f>
        <v>0.28000000000000003</v>
      </c>
      <c r="D23" s="10">
        <f>B23*15/100</f>
        <v>1.5</v>
      </c>
      <c r="E23" s="10">
        <f>B23*3.2/100</f>
        <v>0.32</v>
      </c>
      <c r="F23" s="10">
        <f>B23*206/100</f>
        <v>20.6</v>
      </c>
      <c r="G23" s="7"/>
      <c r="H23" s="7"/>
      <c r="I23" s="1"/>
    </row>
    <row r="24" spans="1:9" x14ac:dyDescent="0.25">
      <c r="A24" s="1" t="s">
        <v>41</v>
      </c>
      <c r="B24" s="8">
        <v>40</v>
      </c>
      <c r="C24" s="10">
        <f>B24*18.6/100</f>
        <v>7.44</v>
      </c>
      <c r="D24" s="10">
        <f>B24*16/100</f>
        <v>6.4</v>
      </c>
      <c r="E24" s="10">
        <f>B24*0/100</f>
        <v>0</v>
      </c>
      <c r="F24" s="10">
        <f>B24*218/100</f>
        <v>87.2</v>
      </c>
      <c r="G24" s="7"/>
      <c r="H24" s="7"/>
      <c r="I24" s="1"/>
    </row>
    <row r="25" spans="1:9" x14ac:dyDescent="0.25">
      <c r="A25" s="1" t="s">
        <v>15</v>
      </c>
      <c r="B25" s="8">
        <v>40</v>
      </c>
      <c r="C25" s="10">
        <f>B25*2/100</f>
        <v>0.8</v>
      </c>
      <c r="D25" s="10">
        <f>B25*0.4/100</f>
        <v>0.16</v>
      </c>
      <c r="E25" s="10">
        <f>B25*17.3/100</f>
        <v>6.92</v>
      </c>
      <c r="F25" s="10">
        <f>B25*80/100</f>
        <v>32</v>
      </c>
      <c r="G25" s="7"/>
      <c r="H25" s="7"/>
      <c r="I25" s="1"/>
    </row>
    <row r="26" spans="1:9" x14ac:dyDescent="0.25">
      <c r="A26" s="1" t="s">
        <v>20</v>
      </c>
      <c r="B26" s="8">
        <v>13</v>
      </c>
      <c r="C26" s="10">
        <f>B26*1.4/100</f>
        <v>0.182</v>
      </c>
      <c r="D26" s="10">
        <f>B26*0/100</f>
        <v>0</v>
      </c>
      <c r="E26" s="10">
        <f>B26*9.1/100</f>
        <v>1.1830000000000001</v>
      </c>
      <c r="F26" s="10">
        <f>B26*41/100</f>
        <v>5.33</v>
      </c>
      <c r="G26" s="7"/>
      <c r="H26" s="7"/>
      <c r="I26" s="1"/>
    </row>
    <row r="27" spans="1:9" x14ac:dyDescent="0.25">
      <c r="A27" s="1" t="s">
        <v>16</v>
      </c>
      <c r="B27" s="8">
        <v>13</v>
      </c>
      <c r="C27" s="10">
        <f>B27*1.3/100</f>
        <v>0.16900000000000001</v>
      </c>
      <c r="D27" s="10">
        <f>B27*0.1/100</f>
        <v>1.3000000000000001E-2</v>
      </c>
      <c r="E27" s="10">
        <f>B27*8.4/100</f>
        <v>1.0920000000000001</v>
      </c>
      <c r="F27" s="10">
        <f>B27*34/100</f>
        <v>4.42</v>
      </c>
      <c r="G27" s="7"/>
      <c r="H27" s="7"/>
      <c r="I27" s="1"/>
    </row>
    <row r="28" spans="1:9" x14ac:dyDescent="0.25">
      <c r="A28" s="1" t="s">
        <v>28</v>
      </c>
      <c r="B28" s="8">
        <v>4</v>
      </c>
      <c r="C28" s="10">
        <f>B28*4.8/100</f>
        <v>0.192</v>
      </c>
      <c r="D28" s="10">
        <f>B28*0/100</f>
        <v>0</v>
      </c>
      <c r="E28" s="10">
        <f>B28*19/100</f>
        <v>0.76</v>
      </c>
      <c r="F28" s="10">
        <f>B28*99/100</f>
        <v>3.96</v>
      </c>
      <c r="G28" s="7"/>
      <c r="H28" s="7"/>
      <c r="I28" s="1"/>
    </row>
    <row r="29" spans="1:9" x14ac:dyDescent="0.25">
      <c r="A29" s="1" t="s">
        <v>120</v>
      </c>
      <c r="B29" s="8">
        <v>30</v>
      </c>
      <c r="C29" s="10">
        <f>B29*0.8/100</f>
        <v>0.24</v>
      </c>
      <c r="D29" s="10">
        <f t="shared" ref="D29" si="1">B29*0.1/100</f>
        <v>0.03</v>
      </c>
      <c r="E29" s="10">
        <f>B29*3.4/100</f>
        <v>1.02</v>
      </c>
      <c r="F29" s="10">
        <f>B29*14/100</f>
        <v>4.2</v>
      </c>
      <c r="G29" s="7"/>
      <c r="H29" s="7"/>
      <c r="I29" s="1"/>
    </row>
    <row r="30" spans="1:9" x14ac:dyDescent="0.25">
      <c r="A30" s="1" t="s">
        <v>8</v>
      </c>
      <c r="B30" s="7">
        <v>2</v>
      </c>
      <c r="C30" s="10">
        <f>B30*0.7/100</f>
        <v>1.3999999999999999E-2</v>
      </c>
      <c r="D30" s="10">
        <f>B30*72.5/100</f>
        <v>1.45</v>
      </c>
      <c r="E30" s="10">
        <f>B30*1/100</f>
        <v>0.02</v>
      </c>
      <c r="F30" s="10">
        <f>B30*709/100</f>
        <v>14.18</v>
      </c>
      <c r="G30" s="7"/>
      <c r="H30" s="7"/>
      <c r="I30" s="1"/>
    </row>
    <row r="31" spans="1:9" x14ac:dyDescent="0.25">
      <c r="A31" s="2" t="s">
        <v>14</v>
      </c>
      <c r="B31" s="5"/>
      <c r="C31" s="5">
        <f>(C22+C23+C24+C25+C26+C27+C28+C29+C30)</f>
        <v>9.8770000000000024</v>
      </c>
      <c r="D31" s="5">
        <f>(D22+D23+D24+D25+D26+D27+D28+D29+D30)</f>
        <v>9.6329999999999991</v>
      </c>
      <c r="E31" s="5">
        <f>(E22+E23+E24+E25+E26+E27+E28+E29+E30)</f>
        <v>17.027000000000001</v>
      </c>
      <c r="F31" s="5">
        <f>(F22+F23+F24+F25+F26+F27+F28+F29+F30)</f>
        <v>198.21</v>
      </c>
      <c r="G31" s="5" t="s">
        <v>338</v>
      </c>
      <c r="H31" s="5"/>
      <c r="I31" s="1" t="s">
        <v>243</v>
      </c>
    </row>
    <row r="32" spans="1:9" x14ac:dyDescent="0.25">
      <c r="A32" s="2" t="s">
        <v>306</v>
      </c>
      <c r="B32" s="7"/>
      <c r="C32" s="10"/>
      <c r="D32" s="10"/>
      <c r="E32" s="10"/>
      <c r="F32" s="10"/>
      <c r="G32" s="7"/>
      <c r="H32" s="7"/>
      <c r="I32" s="1"/>
    </row>
    <row r="33" spans="1:9" x14ac:dyDescent="0.25">
      <c r="A33" s="1" t="s">
        <v>307</v>
      </c>
      <c r="B33" s="8">
        <v>110</v>
      </c>
      <c r="C33" s="7">
        <f>B33*16/100</f>
        <v>17.600000000000001</v>
      </c>
      <c r="D33" s="7">
        <f>B33*0.6/100</f>
        <v>0.66</v>
      </c>
      <c r="E33" s="7">
        <v>0</v>
      </c>
      <c r="F33" s="7">
        <f>B33*69/100</f>
        <v>75.900000000000006</v>
      </c>
      <c r="G33" s="5"/>
      <c r="H33" s="5"/>
      <c r="I33" s="1" t="s">
        <v>308</v>
      </c>
    </row>
    <row r="34" spans="1:9" x14ac:dyDescent="0.25">
      <c r="A34" s="1" t="s">
        <v>20</v>
      </c>
      <c r="B34" s="8">
        <v>13</v>
      </c>
      <c r="C34" s="10">
        <f>B34*1.4/100</f>
        <v>0.182</v>
      </c>
      <c r="D34" s="10">
        <f>B34*0/100</f>
        <v>0</v>
      </c>
      <c r="E34" s="10">
        <f>B34*9.1/100</f>
        <v>1.1830000000000001</v>
      </c>
      <c r="F34" s="10">
        <f>B34*41/100</f>
        <v>5.33</v>
      </c>
      <c r="G34" s="5"/>
      <c r="H34" s="5"/>
      <c r="I34" s="1"/>
    </row>
    <row r="35" spans="1:9" x14ac:dyDescent="0.25">
      <c r="A35" s="1" t="s">
        <v>21</v>
      </c>
      <c r="B35" s="8">
        <v>4</v>
      </c>
      <c r="C35" s="10">
        <f>B35*12.7/100</f>
        <v>0.50800000000000001</v>
      </c>
      <c r="D35" s="10">
        <f>B35*11.5/100</f>
        <v>0.46</v>
      </c>
      <c r="E35" s="10">
        <f>B35*0.7/100</f>
        <v>2.7999999999999997E-2</v>
      </c>
      <c r="F35" s="10">
        <f>B35*157/100</f>
        <v>6.28</v>
      </c>
      <c r="G35" s="5"/>
      <c r="H35" s="5"/>
      <c r="I35" s="1"/>
    </row>
    <row r="36" spans="1:9" x14ac:dyDescent="0.25">
      <c r="A36" s="1" t="s">
        <v>12</v>
      </c>
      <c r="B36" s="8">
        <v>10</v>
      </c>
      <c r="C36" s="10">
        <f>B36*7.7/100</f>
        <v>0.77</v>
      </c>
      <c r="D36" s="10">
        <f>B36*3/100</f>
        <v>0.3</v>
      </c>
      <c r="E36" s="10">
        <f>B36*49.8/100</f>
        <v>4.9800000000000004</v>
      </c>
      <c r="F36" s="10">
        <f>B36*262/100</f>
        <v>26.2</v>
      </c>
      <c r="G36" s="5"/>
      <c r="H36" s="5"/>
      <c r="I36" s="1"/>
    </row>
    <row r="37" spans="1:9" x14ac:dyDescent="0.25">
      <c r="A37" s="1" t="s">
        <v>57</v>
      </c>
      <c r="B37" s="8">
        <v>3</v>
      </c>
      <c r="C37" s="10">
        <f>B37*0/100</f>
        <v>0</v>
      </c>
      <c r="D37" s="10">
        <f t="shared" ref="D37" si="2">B37*8.5/100</f>
        <v>0.255</v>
      </c>
      <c r="E37" s="10">
        <f>B37*0/100</f>
        <v>0</v>
      </c>
      <c r="F37" s="10">
        <f>B37*899/100</f>
        <v>26.97</v>
      </c>
      <c r="G37" s="5"/>
      <c r="H37" s="5"/>
      <c r="I37" s="1"/>
    </row>
    <row r="38" spans="1:9" x14ac:dyDescent="0.25">
      <c r="A38" s="2" t="s">
        <v>14</v>
      </c>
      <c r="B38" s="5"/>
      <c r="C38" s="5">
        <f>C33+C34+C35+C36+C37</f>
        <v>19.059999999999999</v>
      </c>
      <c r="D38" s="5">
        <f>D33+D34+D35+D36+D37</f>
        <v>1.6750000000000003</v>
      </c>
      <c r="E38" s="5">
        <f>E34+E35+E36+E37</f>
        <v>6.1910000000000007</v>
      </c>
      <c r="F38" s="5">
        <f>F33+F34+F35+F36+F37</f>
        <v>140.68</v>
      </c>
      <c r="G38" s="5">
        <v>100</v>
      </c>
      <c r="H38" s="5"/>
      <c r="I38" s="1" t="s">
        <v>238</v>
      </c>
    </row>
    <row r="39" spans="1:9" x14ac:dyDescent="0.25">
      <c r="A39" s="2" t="s">
        <v>309</v>
      </c>
      <c r="B39" s="5"/>
      <c r="C39" s="5"/>
      <c r="D39" s="5"/>
      <c r="E39" s="5"/>
      <c r="F39" s="5"/>
      <c r="G39" s="5"/>
      <c r="H39" s="5"/>
      <c r="I39" s="1"/>
    </row>
    <row r="40" spans="1:9" x14ac:dyDescent="0.25">
      <c r="A40" s="1" t="s">
        <v>15</v>
      </c>
      <c r="B40" s="8">
        <v>60</v>
      </c>
      <c r="C40" s="7">
        <f>B40*2/100</f>
        <v>1.2</v>
      </c>
      <c r="D40" s="7">
        <f>B40*0.4/100</f>
        <v>0.24</v>
      </c>
      <c r="E40" s="7">
        <f>B40*17.3/100</f>
        <v>10.38</v>
      </c>
      <c r="F40" s="7">
        <f>B40*80/100</f>
        <v>48</v>
      </c>
      <c r="G40" s="7"/>
      <c r="H40" s="7"/>
      <c r="I40" s="1"/>
    </row>
    <row r="41" spans="1:9" x14ac:dyDescent="0.25">
      <c r="A41" s="1" t="s">
        <v>20</v>
      </c>
      <c r="B41" s="8">
        <v>13</v>
      </c>
      <c r="C41" s="7">
        <f>B41*1.4/100</f>
        <v>0.182</v>
      </c>
      <c r="D41" s="7">
        <f>B41*0/100</f>
        <v>0</v>
      </c>
      <c r="E41" s="7">
        <f>B41*9.1/100</f>
        <v>1.1830000000000001</v>
      </c>
      <c r="F41" s="7">
        <f>B41*41/100</f>
        <v>5.33</v>
      </c>
      <c r="G41" s="7"/>
      <c r="H41" s="7"/>
      <c r="I41" s="1"/>
    </row>
    <row r="42" spans="1:9" x14ac:dyDescent="0.25">
      <c r="A42" s="1" t="s">
        <v>16</v>
      </c>
      <c r="B42" s="8">
        <v>13</v>
      </c>
      <c r="C42" s="7">
        <f>B42*1.3/100</f>
        <v>0.16900000000000001</v>
      </c>
      <c r="D42" s="7">
        <f>B42*0.1/100</f>
        <v>1.3000000000000001E-2</v>
      </c>
      <c r="E42" s="7">
        <f>B42*8.4/100</f>
        <v>1.0920000000000001</v>
      </c>
      <c r="F42" s="7">
        <f>B42*34/100</f>
        <v>4.42</v>
      </c>
      <c r="G42" s="7"/>
      <c r="H42" s="7"/>
      <c r="I42" s="1"/>
    </row>
    <row r="43" spans="1:9" x14ac:dyDescent="0.25">
      <c r="A43" s="1" t="s">
        <v>28</v>
      </c>
      <c r="B43" s="8">
        <v>6</v>
      </c>
      <c r="C43" s="7">
        <f>B43*4.8/100</f>
        <v>0.28799999999999998</v>
      </c>
      <c r="D43" s="7">
        <f t="shared" ref="D43" si="3">B43*3.3/100</f>
        <v>0.19799999999999998</v>
      </c>
      <c r="E43" s="7">
        <f t="shared" ref="E43" si="4">B43*62.1/100</f>
        <v>3.7260000000000004</v>
      </c>
      <c r="F43" s="7">
        <f>B43*99/100</f>
        <v>5.94</v>
      </c>
      <c r="G43" s="7"/>
      <c r="H43" s="7"/>
      <c r="I43" s="1"/>
    </row>
    <row r="44" spans="1:9" x14ac:dyDescent="0.25">
      <c r="A44" s="1" t="s">
        <v>8</v>
      </c>
      <c r="B44" s="8">
        <v>2</v>
      </c>
      <c r="C44" s="7">
        <f>B44*0.7/100</f>
        <v>1.3999999999999999E-2</v>
      </c>
      <c r="D44" s="7">
        <f>B44*72.5/100</f>
        <v>1.45</v>
      </c>
      <c r="E44" s="7">
        <f>B44*1/100</f>
        <v>0.02</v>
      </c>
      <c r="F44" s="7">
        <f>B44*709/100</f>
        <v>14.18</v>
      </c>
      <c r="G44" s="5">
        <v>70</v>
      </c>
      <c r="H44" s="5"/>
      <c r="I44" s="1" t="s">
        <v>310</v>
      </c>
    </row>
    <row r="45" spans="1:9" x14ac:dyDescent="0.25">
      <c r="A45" s="2" t="s">
        <v>14</v>
      </c>
      <c r="B45" s="5"/>
      <c r="C45" s="5">
        <f>C40+C41+C42+C43+C44</f>
        <v>1.853</v>
      </c>
      <c r="D45" s="5">
        <f>D40+D41+D42+D43+D44</f>
        <v>1.9009999999999998</v>
      </c>
      <c r="E45" s="5">
        <f>E40+E41+E42+E43+E44</f>
        <v>16.401</v>
      </c>
      <c r="F45" s="5">
        <f>F40+F41+F42+F43+F44</f>
        <v>77.87</v>
      </c>
      <c r="G45" s="7"/>
      <c r="H45" s="7"/>
      <c r="I45" s="1"/>
    </row>
    <row r="46" spans="1:9" x14ac:dyDescent="0.25">
      <c r="A46" s="2"/>
      <c r="B46" s="5"/>
      <c r="C46" s="5"/>
      <c r="D46" s="5"/>
      <c r="E46" s="5"/>
      <c r="F46" s="5"/>
      <c r="G46" s="5"/>
      <c r="H46" s="5"/>
      <c r="I46" s="1"/>
    </row>
    <row r="47" spans="1:9" x14ac:dyDescent="0.25">
      <c r="A47" s="2" t="s">
        <v>124</v>
      </c>
      <c r="B47" s="5">
        <v>60</v>
      </c>
      <c r="C47" s="5">
        <f>B47*2.2/100</f>
        <v>1.32</v>
      </c>
      <c r="D47" s="5">
        <f>B47*0.4/100</f>
        <v>0.24</v>
      </c>
      <c r="E47" s="5">
        <f>B47*11.2/100</f>
        <v>6.72</v>
      </c>
      <c r="F47" s="5">
        <f>B47*58/100</f>
        <v>34.799999999999997</v>
      </c>
      <c r="G47" s="5">
        <v>60</v>
      </c>
      <c r="H47" s="5"/>
      <c r="I47" s="1" t="s">
        <v>244</v>
      </c>
    </row>
    <row r="48" spans="1:9" x14ac:dyDescent="0.25">
      <c r="A48" s="2" t="s">
        <v>245</v>
      </c>
      <c r="B48" s="7"/>
      <c r="C48" s="10"/>
      <c r="D48" s="10"/>
      <c r="E48" s="10"/>
      <c r="F48" s="10"/>
      <c r="G48" s="7"/>
      <c r="H48" s="7"/>
      <c r="I48" s="1"/>
    </row>
    <row r="49" spans="1:9" x14ac:dyDescent="0.25">
      <c r="A49" s="1" t="s">
        <v>246</v>
      </c>
      <c r="B49" s="8">
        <v>8</v>
      </c>
      <c r="C49" s="10">
        <f>B49*0.9/100</f>
        <v>7.2000000000000008E-2</v>
      </c>
      <c r="D49" s="10">
        <f>B49*0.1/100</f>
        <v>8.0000000000000002E-3</v>
      </c>
      <c r="E49" s="10">
        <f>B49*3/100</f>
        <v>0.24</v>
      </c>
      <c r="F49" s="10">
        <f>B49*33/100</f>
        <v>2.64</v>
      </c>
      <c r="G49" s="7"/>
      <c r="H49" s="7"/>
      <c r="I49" s="1"/>
    </row>
    <row r="50" spans="1:9" x14ac:dyDescent="0.25">
      <c r="A50" s="1" t="s">
        <v>9</v>
      </c>
      <c r="B50" s="8">
        <v>8</v>
      </c>
      <c r="C50" s="11">
        <f>B50*0/100</f>
        <v>0</v>
      </c>
      <c r="D50" s="10">
        <f>B50*0/100</f>
        <v>0</v>
      </c>
      <c r="E50" s="10">
        <f>B50*99.8/100</f>
        <v>7.984</v>
      </c>
      <c r="F50" s="10">
        <f>B50*379/100</f>
        <v>30.32</v>
      </c>
      <c r="G50" s="7"/>
      <c r="H50" s="7"/>
      <c r="I50" s="1"/>
    </row>
    <row r="51" spans="1:9" x14ac:dyDescent="0.25">
      <c r="A51" s="2" t="s">
        <v>14</v>
      </c>
      <c r="B51" s="5"/>
      <c r="C51" s="5">
        <f>C48+C49+C50</f>
        <v>7.2000000000000008E-2</v>
      </c>
      <c r="D51" s="5">
        <f>D48+D49+D50</f>
        <v>8.0000000000000002E-3</v>
      </c>
      <c r="E51" s="5">
        <f>E49+E50</f>
        <v>8.2240000000000002</v>
      </c>
      <c r="F51" s="5">
        <f>F49+F50</f>
        <v>32.96</v>
      </c>
      <c r="G51" s="5">
        <v>180</v>
      </c>
      <c r="H51" s="5"/>
      <c r="I51" s="1" t="s">
        <v>247</v>
      </c>
    </row>
    <row r="52" spans="1:9" x14ac:dyDescent="0.25">
      <c r="A52" s="1" t="s">
        <v>32</v>
      </c>
      <c r="B52" s="8">
        <v>37</v>
      </c>
      <c r="C52" s="5">
        <f>B52*6.6/100</f>
        <v>2.4419999999999997</v>
      </c>
      <c r="D52" s="5">
        <f>B52*1.2/100</f>
        <v>0.44400000000000001</v>
      </c>
      <c r="E52" s="5">
        <f>B52*34.2/100</f>
        <v>12.654000000000002</v>
      </c>
      <c r="F52" s="5">
        <f>B52*181/100</f>
        <v>66.97</v>
      </c>
      <c r="G52" s="5">
        <v>37</v>
      </c>
      <c r="H52" s="5"/>
      <c r="I52" s="1"/>
    </row>
    <row r="53" spans="1:9" x14ac:dyDescent="0.25">
      <c r="A53" s="2" t="s">
        <v>141</v>
      </c>
      <c r="B53" s="5"/>
      <c r="C53" s="5">
        <f>C31+C38+C45+C47+C51+C52</f>
        <v>34.624000000000002</v>
      </c>
      <c r="D53" s="5">
        <f>D31+D38+D45+D47+D51+D52</f>
        <v>13.901</v>
      </c>
      <c r="E53" s="5">
        <f>E31+E38+E45+E47+E51+E52</f>
        <v>67.216999999999999</v>
      </c>
      <c r="F53" s="5">
        <f>F31+F38+F45+F47+F51+F52</f>
        <v>551.49</v>
      </c>
      <c r="G53" s="5">
        <v>657</v>
      </c>
      <c r="H53" s="5"/>
      <c r="I53" s="1"/>
    </row>
    <row r="54" spans="1:9" x14ac:dyDescent="0.25">
      <c r="A54" s="1" t="s">
        <v>196</v>
      </c>
      <c r="B54" s="7">
        <v>3.75</v>
      </c>
      <c r="C54" s="10"/>
      <c r="D54" s="10"/>
      <c r="E54" s="10"/>
      <c r="F54" s="10"/>
      <c r="G54" s="7"/>
      <c r="H54" s="7"/>
      <c r="I54" s="1"/>
    </row>
    <row r="55" spans="1:9" ht="20.25" customHeight="1" x14ac:dyDescent="0.25">
      <c r="A55" s="14" t="s">
        <v>277</v>
      </c>
      <c r="B55" s="16"/>
      <c r="C55" s="16"/>
      <c r="D55" s="16"/>
      <c r="E55" s="16"/>
      <c r="F55" s="16"/>
      <c r="G55" s="5"/>
      <c r="H55" s="5"/>
      <c r="I55" s="1"/>
    </row>
    <row r="56" spans="1:9" x14ac:dyDescent="0.25">
      <c r="A56" s="1" t="s">
        <v>255</v>
      </c>
      <c r="B56" s="10">
        <v>150</v>
      </c>
      <c r="C56" s="10">
        <f>B56*0.5/100</f>
        <v>0.75</v>
      </c>
      <c r="D56" s="10">
        <f>B56*0/100</f>
        <v>0</v>
      </c>
      <c r="E56" s="10">
        <f>B56*9.1/100</f>
        <v>13.65</v>
      </c>
      <c r="F56" s="10">
        <f>B56*38/100</f>
        <v>57</v>
      </c>
      <c r="G56" s="5">
        <v>150</v>
      </c>
      <c r="H56" s="5"/>
      <c r="I56" s="1" t="s">
        <v>210</v>
      </c>
    </row>
    <row r="57" spans="1:9" x14ac:dyDescent="0.25">
      <c r="A57" s="1"/>
      <c r="B57" s="10"/>
      <c r="C57" s="10"/>
      <c r="D57" s="10"/>
      <c r="E57" s="10"/>
      <c r="F57" s="10"/>
      <c r="G57" s="7"/>
      <c r="H57" s="7"/>
      <c r="I57" s="1"/>
    </row>
    <row r="58" spans="1:9" x14ac:dyDescent="0.25">
      <c r="A58" s="1" t="s">
        <v>322</v>
      </c>
      <c r="B58" s="10">
        <v>70</v>
      </c>
      <c r="C58" s="10">
        <f>B58*10.4/100</f>
        <v>7.28</v>
      </c>
      <c r="D58" s="10">
        <f>B58*5.2/100</f>
        <v>3.64</v>
      </c>
      <c r="E58" s="10">
        <f>B58*76.8/100</f>
        <v>53.76</v>
      </c>
      <c r="F58" s="10">
        <f>B58*458/100</f>
        <v>320.60000000000002</v>
      </c>
      <c r="G58" s="5">
        <v>70</v>
      </c>
      <c r="H58" s="7"/>
      <c r="I58" s="1"/>
    </row>
    <row r="59" spans="1:9" x14ac:dyDescent="0.25">
      <c r="A59" s="2" t="s">
        <v>283</v>
      </c>
      <c r="B59" s="7"/>
      <c r="C59" s="5">
        <f>C56+C58</f>
        <v>8.0300000000000011</v>
      </c>
      <c r="D59" s="5">
        <f>D56+D58</f>
        <v>3.64</v>
      </c>
      <c r="E59" s="5">
        <f>E56+E58</f>
        <v>67.41</v>
      </c>
      <c r="F59" s="5">
        <f>F56+F58</f>
        <v>377.6</v>
      </c>
      <c r="G59" s="7"/>
      <c r="H59" s="7"/>
      <c r="I59" s="1"/>
    </row>
    <row r="60" spans="1:9" x14ac:dyDescent="0.25">
      <c r="A60" s="1"/>
      <c r="B60" s="7"/>
      <c r="C60" s="10"/>
      <c r="D60" s="10"/>
      <c r="E60" s="10"/>
      <c r="F60" s="10"/>
      <c r="G60" s="7"/>
      <c r="H60" s="7"/>
      <c r="I60" s="1"/>
    </row>
    <row r="61" spans="1:9" x14ac:dyDescent="0.25">
      <c r="A61" s="1" t="s">
        <v>281</v>
      </c>
      <c r="B61" s="5"/>
      <c r="C61" s="5">
        <f>C17+C19+C53+C59</f>
        <v>64.682000000000002</v>
      </c>
      <c r="D61" s="5">
        <f>D17+D19+D53+D59</f>
        <v>42.241</v>
      </c>
      <c r="E61" s="5">
        <f>E17+E19+E53+E59</f>
        <v>229.00899999999999</v>
      </c>
      <c r="F61" s="5">
        <f>F17+F19+F53+F59</f>
        <v>1629.33</v>
      </c>
      <c r="G61" s="5">
        <v>220</v>
      </c>
      <c r="H61" s="7"/>
      <c r="I61" s="1"/>
    </row>
    <row r="62" spans="1:9" x14ac:dyDescent="0.25">
      <c r="A62" s="1"/>
      <c r="B62" s="7"/>
      <c r="C62" s="10"/>
      <c r="D62" s="10"/>
      <c r="E62" s="10"/>
      <c r="F62" s="10"/>
      <c r="G62" s="7"/>
      <c r="H62" s="7"/>
      <c r="I62" s="1"/>
    </row>
    <row r="63" spans="1:9" x14ac:dyDescent="0.25">
      <c r="A63" s="1"/>
      <c r="B63" s="7"/>
      <c r="C63" s="10"/>
      <c r="D63" s="10"/>
      <c r="E63" s="10"/>
      <c r="F63" s="10"/>
      <c r="G63" s="7"/>
      <c r="H63" s="7"/>
      <c r="I63" s="1"/>
    </row>
    <row r="64" spans="1:9" x14ac:dyDescent="0.25">
      <c r="A64" s="1" t="s">
        <v>298</v>
      </c>
      <c r="B64" s="7"/>
      <c r="C64" s="10"/>
      <c r="D64" s="10"/>
      <c r="E64" s="10"/>
      <c r="F64" s="10"/>
      <c r="G64" s="7"/>
      <c r="H64" s="7"/>
      <c r="I64" s="1"/>
    </row>
    <row r="65" spans="1:9" x14ac:dyDescent="0.25">
      <c r="A65" s="1"/>
      <c r="B65" s="7"/>
      <c r="C65" s="10"/>
      <c r="D65" s="10"/>
      <c r="E65" s="10"/>
      <c r="F65" s="10"/>
      <c r="G65" s="7"/>
      <c r="H65" s="7"/>
      <c r="I65" s="1"/>
    </row>
  </sheetData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workbookViewId="0">
      <selection activeCell="B10" sqref="B10"/>
    </sheetView>
  </sheetViews>
  <sheetFormatPr defaultRowHeight="15" x14ac:dyDescent="0.25"/>
  <cols>
    <col min="1" max="1" width="44.28515625" customWidth="1"/>
    <col min="2" max="2" width="7" customWidth="1"/>
    <col min="7" max="8" width="7.5703125" customWidth="1"/>
    <col min="9" max="9" width="15.7109375" customWidth="1"/>
  </cols>
  <sheetData>
    <row r="1" spans="1:9" ht="24" customHeight="1" x14ac:dyDescent="0.25">
      <c r="A1" s="2" t="s">
        <v>36</v>
      </c>
      <c r="B1" s="7"/>
      <c r="C1" s="10"/>
      <c r="D1" s="10"/>
      <c r="E1" s="10"/>
      <c r="F1" s="10"/>
      <c r="G1" s="7"/>
      <c r="H1" s="7" t="s">
        <v>128</v>
      </c>
      <c r="I1" s="2" t="s">
        <v>197</v>
      </c>
    </row>
    <row r="2" spans="1:9" x14ac:dyDescent="0.25">
      <c r="A2" s="25" t="s">
        <v>305</v>
      </c>
      <c r="B2" s="8"/>
      <c r="C2" s="10"/>
      <c r="D2" s="10"/>
      <c r="E2" s="10"/>
      <c r="F2" s="10"/>
      <c r="G2" s="7"/>
      <c r="H2" s="7"/>
      <c r="I2" s="1"/>
    </row>
    <row r="3" spans="1:9" x14ac:dyDescent="0.25">
      <c r="A3" s="1" t="s">
        <v>325</v>
      </c>
      <c r="B3" s="8">
        <v>25</v>
      </c>
      <c r="C3" s="10">
        <f>B3*10.3/100</f>
        <v>2.5750000000000002</v>
      </c>
      <c r="D3" s="10">
        <f>B3*1/100</f>
        <v>0.25</v>
      </c>
      <c r="E3" s="10">
        <f>B3*67.9/100</f>
        <v>16.975000000000001</v>
      </c>
      <c r="F3" s="10">
        <f>B3*328/100</f>
        <v>82</v>
      </c>
      <c r="G3" s="7"/>
      <c r="H3" s="7"/>
      <c r="I3" s="1"/>
    </row>
    <row r="4" spans="1:9" x14ac:dyDescent="0.25">
      <c r="A4" s="1" t="s">
        <v>7</v>
      </c>
      <c r="B4" s="8">
        <v>150</v>
      </c>
      <c r="C4" s="10">
        <f>B4*2.8/100</f>
        <v>4.2</v>
      </c>
      <c r="D4" s="10">
        <f>B4*3.5/100</f>
        <v>5.25</v>
      </c>
      <c r="E4" s="10">
        <f>B4*4.7/100</f>
        <v>7.05</v>
      </c>
      <c r="F4" s="10">
        <f>B4*61/100</f>
        <v>91.5</v>
      </c>
      <c r="G4" s="7"/>
      <c r="H4" s="7"/>
      <c r="I4" s="1"/>
    </row>
    <row r="5" spans="1:9" x14ac:dyDescent="0.25">
      <c r="A5" s="1" t="s">
        <v>8</v>
      </c>
      <c r="B5" s="8">
        <v>2</v>
      </c>
      <c r="C5" s="10">
        <f>B5*0.7/100</f>
        <v>1.3999999999999999E-2</v>
      </c>
      <c r="D5" s="10">
        <f>B5*72.5/100</f>
        <v>1.45</v>
      </c>
      <c r="E5" s="10">
        <f>B5*1/100</f>
        <v>0.02</v>
      </c>
      <c r="F5" s="10">
        <f>B5*709/100</f>
        <v>14.18</v>
      </c>
      <c r="G5" s="5"/>
      <c r="H5" s="5"/>
      <c r="I5" s="1"/>
    </row>
    <row r="6" spans="1:9" x14ac:dyDescent="0.25">
      <c r="A6" s="1" t="s">
        <v>9</v>
      </c>
      <c r="B6" s="8">
        <v>5</v>
      </c>
      <c r="C6" s="10">
        <f>B6*0/100</f>
        <v>0</v>
      </c>
      <c r="D6" s="10">
        <f>B6*0/100</f>
        <v>0</v>
      </c>
      <c r="E6" s="10">
        <f>B6*99.8/100</f>
        <v>4.99</v>
      </c>
      <c r="F6" s="10">
        <f t="shared" ref="F6" si="0">B6*379/100</f>
        <v>18.95</v>
      </c>
      <c r="G6" s="5"/>
      <c r="H6" s="5"/>
      <c r="I6" s="1"/>
    </row>
    <row r="7" spans="1:9" x14ac:dyDescent="0.25">
      <c r="A7" s="2" t="s">
        <v>14</v>
      </c>
      <c r="B7" s="5"/>
      <c r="C7" s="5">
        <f>C3+C4+C5+C6</f>
        <v>6.7890000000000006</v>
      </c>
      <c r="D7" s="5">
        <f>D3+D4+D5+D6</f>
        <v>6.95</v>
      </c>
      <c r="E7" s="5">
        <f>E3+E4+E5+E6</f>
        <v>29.035000000000004</v>
      </c>
      <c r="F7" s="5">
        <f>F3+F4+F5++F6</f>
        <v>206.63</v>
      </c>
      <c r="G7" s="5">
        <v>180</v>
      </c>
      <c r="H7" s="5"/>
      <c r="I7" s="1" t="s">
        <v>241</v>
      </c>
    </row>
    <row r="8" spans="1:9" x14ac:dyDescent="0.25">
      <c r="A8" s="2" t="s">
        <v>82</v>
      </c>
      <c r="B8" s="7"/>
      <c r="C8" s="10"/>
      <c r="D8" s="10"/>
      <c r="E8" s="10"/>
      <c r="F8" s="10"/>
      <c r="G8" s="7"/>
      <c r="H8" s="7"/>
      <c r="I8" s="1"/>
    </row>
    <row r="9" spans="1:9" x14ac:dyDescent="0.25">
      <c r="A9" s="1" t="s">
        <v>83</v>
      </c>
      <c r="B9" s="8">
        <v>0.6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7"/>
      <c r="H9" s="7"/>
      <c r="I9" s="1"/>
    </row>
    <row r="10" spans="1:9" x14ac:dyDescent="0.25">
      <c r="A10" s="1" t="s">
        <v>9</v>
      </c>
      <c r="B10" s="8">
        <v>5</v>
      </c>
      <c r="C10" s="10">
        <f>B10*0/100</f>
        <v>0</v>
      </c>
      <c r="D10" s="10">
        <f>B10*0/100</f>
        <v>0</v>
      </c>
      <c r="E10" s="10">
        <f>B10*99.8/100</f>
        <v>4.99</v>
      </c>
      <c r="F10" s="10">
        <f>B10*379/100</f>
        <v>18.95</v>
      </c>
      <c r="G10" s="7"/>
      <c r="H10" s="7"/>
      <c r="I10" s="1"/>
    </row>
    <row r="11" spans="1:9" x14ac:dyDescent="0.25">
      <c r="A11" s="1" t="s">
        <v>84</v>
      </c>
      <c r="B11" s="8">
        <v>8</v>
      </c>
      <c r="C11" s="10">
        <f>B11*0.9/100</f>
        <v>7.2000000000000008E-2</v>
      </c>
      <c r="D11" s="10">
        <f>B11*0.1/100</f>
        <v>8.0000000000000002E-3</v>
      </c>
      <c r="E11" s="10">
        <f>B11*3/100</f>
        <v>0.24</v>
      </c>
      <c r="F11" s="10">
        <f>B11*33/100</f>
        <v>2.64</v>
      </c>
      <c r="G11" s="7"/>
      <c r="H11" s="7"/>
      <c r="I11" s="1"/>
    </row>
    <row r="12" spans="1:9" x14ac:dyDescent="0.25">
      <c r="A12" s="2" t="s">
        <v>14</v>
      </c>
      <c r="B12" s="5"/>
      <c r="C12" s="5">
        <f>C9+C10+C11</f>
        <v>7.2000000000000008E-2</v>
      </c>
      <c r="D12" s="5">
        <f>D9+D10+D11</f>
        <v>8.0000000000000002E-3</v>
      </c>
      <c r="E12" s="5">
        <f>E9+E10+E11</f>
        <v>5.23</v>
      </c>
      <c r="F12" s="5">
        <f>F9+F10+F11</f>
        <v>21.59</v>
      </c>
      <c r="G12" s="5">
        <v>180</v>
      </c>
      <c r="H12" s="5"/>
      <c r="I12" s="1" t="s">
        <v>227</v>
      </c>
    </row>
    <row r="13" spans="1:9" x14ac:dyDescent="0.25">
      <c r="A13" s="1" t="s">
        <v>12</v>
      </c>
      <c r="B13" s="8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1" t="s">
        <v>8</v>
      </c>
      <c r="B14" s="8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 x14ac:dyDescent="0.25">
      <c r="A15" s="2" t="s">
        <v>118</v>
      </c>
      <c r="B15" s="5"/>
      <c r="C15" s="5">
        <f>C7+C12+C13+C14</f>
        <v>11.537000000000001</v>
      </c>
      <c r="D15" s="5">
        <f>D7+D12+D13+D14</f>
        <v>14.558</v>
      </c>
      <c r="E15" s="5">
        <f>E7+E12+E13+E14</f>
        <v>64.224999999999994</v>
      </c>
      <c r="F15" s="5">
        <f>F7+F10+F11+F12+F13+F14</f>
        <v>463.73</v>
      </c>
      <c r="G15" s="5">
        <v>428</v>
      </c>
      <c r="H15" s="5"/>
      <c r="I15" s="1"/>
    </row>
    <row r="16" spans="1:9" x14ac:dyDescent="0.25">
      <c r="A16" s="2"/>
      <c r="B16" s="5"/>
      <c r="C16" s="5"/>
      <c r="D16" s="5"/>
      <c r="E16" s="5"/>
      <c r="F16" s="5"/>
      <c r="G16" s="7"/>
      <c r="H16" s="7"/>
      <c r="I16" s="1"/>
    </row>
    <row r="17" spans="1:9" ht="28.5" customHeight="1" x14ac:dyDescent="0.25">
      <c r="A17" s="2" t="s">
        <v>183</v>
      </c>
      <c r="B17" s="5">
        <v>150</v>
      </c>
      <c r="C17" s="5">
        <f>B17*0.5/100</f>
        <v>0.75</v>
      </c>
      <c r="D17" s="5">
        <f>B17*0/100</f>
        <v>0</v>
      </c>
      <c r="E17" s="5">
        <f>B17*9.1/100</f>
        <v>13.65</v>
      </c>
      <c r="F17" s="5">
        <f>B17*38/100</f>
        <v>57</v>
      </c>
      <c r="G17" s="5">
        <v>150</v>
      </c>
      <c r="H17" s="5"/>
      <c r="I17" s="1"/>
    </row>
    <row r="18" spans="1:9" ht="29.25" customHeight="1" x14ac:dyDescent="0.25">
      <c r="A18" s="1" t="s">
        <v>33</v>
      </c>
      <c r="B18" s="7"/>
      <c r="C18" s="10"/>
      <c r="D18" s="10"/>
      <c r="E18" s="10"/>
      <c r="F18" s="10"/>
      <c r="G18" s="5"/>
      <c r="H18" s="5"/>
      <c r="I18" s="1"/>
    </row>
    <row r="19" spans="1:9" x14ac:dyDescent="0.25">
      <c r="A19" s="2" t="s">
        <v>133</v>
      </c>
      <c r="B19" s="7"/>
      <c r="C19" s="10"/>
      <c r="D19" s="10"/>
      <c r="E19" s="10"/>
      <c r="F19" s="10"/>
      <c r="G19" s="7"/>
      <c r="H19" s="7"/>
      <c r="I19" s="1"/>
    </row>
    <row r="20" spans="1:9" x14ac:dyDescent="0.25">
      <c r="A20" s="1" t="s">
        <v>18</v>
      </c>
      <c r="B20" s="7"/>
      <c r="C20" s="10"/>
      <c r="D20" s="10"/>
      <c r="E20" s="10"/>
      <c r="F20" s="10"/>
      <c r="G20" s="7"/>
      <c r="H20" s="7"/>
      <c r="I20" s="1"/>
    </row>
    <row r="21" spans="1:9" x14ac:dyDescent="0.25">
      <c r="A21" s="1" t="s">
        <v>15</v>
      </c>
      <c r="B21" s="8">
        <v>40</v>
      </c>
      <c r="C21" s="10">
        <f>B21*2/100</f>
        <v>0.8</v>
      </c>
      <c r="D21" s="10">
        <f>B21*0.4/100</f>
        <v>0.16</v>
      </c>
      <c r="E21" s="10">
        <f>B21*17.3/100</f>
        <v>6.92</v>
      </c>
      <c r="F21" s="10">
        <f>B21*80/100</f>
        <v>32</v>
      </c>
      <c r="G21" s="7"/>
      <c r="H21" s="7"/>
      <c r="I21" s="1"/>
    </row>
    <row r="22" spans="1:9" x14ac:dyDescent="0.25">
      <c r="A22" s="1" t="s">
        <v>26</v>
      </c>
      <c r="B22" s="8">
        <v>35</v>
      </c>
      <c r="C22" s="10">
        <f>B22*1.8/100</f>
        <v>0.63</v>
      </c>
      <c r="D22" s="10">
        <f>B22*0.1/100</f>
        <v>3.5000000000000003E-2</v>
      </c>
      <c r="E22" s="10">
        <f>B22*4.7/100</f>
        <v>1.645</v>
      </c>
      <c r="F22" s="10">
        <f>B22*27/100</f>
        <v>9.4499999999999993</v>
      </c>
      <c r="G22" s="7"/>
      <c r="H22" s="7"/>
      <c r="I22" s="1"/>
    </row>
    <row r="23" spans="1:9" x14ac:dyDescent="0.25">
      <c r="A23" s="1" t="s">
        <v>97</v>
      </c>
      <c r="B23" s="8">
        <v>20</v>
      </c>
      <c r="C23" s="10">
        <f>B23*3.2/100</f>
        <v>0.64</v>
      </c>
      <c r="D23" s="10">
        <f>B23*0.2/100</f>
        <v>0.04</v>
      </c>
      <c r="E23" s="10">
        <f>B23*6.5/100</f>
        <v>1.3</v>
      </c>
      <c r="F23" s="10">
        <f>B23*40/100</f>
        <v>8</v>
      </c>
      <c r="G23" s="7"/>
      <c r="H23" s="7"/>
      <c r="I23" s="1"/>
    </row>
    <row r="24" spans="1:9" x14ac:dyDescent="0.25">
      <c r="A24" s="1" t="s">
        <v>20</v>
      </c>
      <c r="B24" s="8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7"/>
      <c r="H24" s="7"/>
      <c r="I24" s="1"/>
    </row>
    <row r="25" spans="1:9" x14ac:dyDescent="0.25">
      <c r="A25" s="1" t="s">
        <v>16</v>
      </c>
      <c r="B25" s="8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7"/>
      <c r="H25" s="7"/>
      <c r="I25" s="1"/>
    </row>
    <row r="26" spans="1:9" x14ac:dyDescent="0.25">
      <c r="A26" s="1" t="s">
        <v>28</v>
      </c>
      <c r="B26" s="8">
        <v>4</v>
      </c>
      <c r="C26" s="10">
        <f>B26*4.8/100</f>
        <v>0.192</v>
      </c>
      <c r="D26" s="10">
        <f>B26*0/100</f>
        <v>0</v>
      </c>
      <c r="E26" s="10">
        <f>B26*19/100</f>
        <v>0.76</v>
      </c>
      <c r="F26" s="10">
        <f>B26*99/100</f>
        <v>3.96</v>
      </c>
      <c r="G26" s="7"/>
      <c r="H26" s="7"/>
      <c r="I26" s="1"/>
    </row>
    <row r="27" spans="1:9" x14ac:dyDescent="0.25">
      <c r="A27" s="1" t="s">
        <v>132</v>
      </c>
      <c r="B27" s="8">
        <v>2</v>
      </c>
      <c r="C27" s="10">
        <f>B27*0.7/100</f>
        <v>1.3999999999999999E-2</v>
      </c>
      <c r="D27" s="10">
        <f>B27*72.5/100</f>
        <v>1.45</v>
      </c>
      <c r="E27" s="10">
        <f>B27*1/100</f>
        <v>0.02</v>
      </c>
      <c r="F27" s="10">
        <f>B27*709/100</f>
        <v>14.18</v>
      </c>
      <c r="G27" s="7"/>
      <c r="H27" s="7"/>
      <c r="I27" s="1"/>
    </row>
    <row r="28" spans="1:9" x14ac:dyDescent="0.25">
      <c r="A28" s="1" t="s">
        <v>69</v>
      </c>
      <c r="B28" s="8">
        <v>15</v>
      </c>
      <c r="C28" s="10">
        <f>B28*2.8/100</f>
        <v>0.42</v>
      </c>
      <c r="D28" s="10">
        <f>B28*15/100</f>
        <v>2.25</v>
      </c>
      <c r="E28" s="10">
        <f>B28*3.2/100</f>
        <v>0.48</v>
      </c>
      <c r="F28" s="10">
        <f>B28*206/100</f>
        <v>30.9</v>
      </c>
      <c r="G28" s="7"/>
      <c r="H28" s="7"/>
      <c r="I28" s="1"/>
    </row>
    <row r="29" spans="1:9" x14ac:dyDescent="0.25">
      <c r="A29" s="2" t="s">
        <v>14</v>
      </c>
      <c r="B29" s="5"/>
      <c r="C29" s="5">
        <f>C21+C22+C23+C24+C25+C26+C27+C28</f>
        <v>3.0470000000000002</v>
      </c>
      <c r="D29" s="5">
        <f>D21+D22+D23+D24+D25+D26+D27+D28</f>
        <v>3.948</v>
      </c>
      <c r="E29" s="5">
        <f>E21+E22+E23+E24+E25+E26+E27+E28</f>
        <v>13.4</v>
      </c>
      <c r="F29" s="5">
        <f>F21+F22+F23+F24+F25+F26+F27+F28</f>
        <v>108.24000000000001</v>
      </c>
      <c r="G29" s="5" t="s">
        <v>340</v>
      </c>
      <c r="H29" s="5"/>
      <c r="I29" s="1" t="s">
        <v>248</v>
      </c>
    </row>
    <row r="30" spans="1:9" x14ac:dyDescent="0.25">
      <c r="A30" s="2" t="s">
        <v>300</v>
      </c>
      <c r="B30" s="7"/>
      <c r="C30" s="10"/>
      <c r="D30" s="10"/>
      <c r="E30" s="10"/>
      <c r="F30" s="10"/>
      <c r="G30" s="7"/>
      <c r="H30" s="7"/>
      <c r="I30" s="1"/>
    </row>
    <row r="31" spans="1:9" x14ac:dyDescent="0.25">
      <c r="A31" s="25"/>
      <c r="B31" s="7"/>
      <c r="C31" s="10"/>
      <c r="D31" s="10"/>
      <c r="E31" s="10"/>
      <c r="F31" s="10"/>
      <c r="G31" s="7"/>
      <c r="H31" s="7"/>
      <c r="I31" s="1"/>
    </row>
    <row r="32" spans="1:9" x14ac:dyDescent="0.25">
      <c r="A32" s="1" t="s">
        <v>135</v>
      </c>
      <c r="B32" s="8">
        <v>70</v>
      </c>
      <c r="C32" s="7">
        <f>B32*18.2/100</f>
        <v>12.74</v>
      </c>
      <c r="D32" s="7">
        <f>B32*18.4/100</f>
        <v>12.88</v>
      </c>
      <c r="E32" s="7">
        <f>B32*0.7/100</f>
        <v>0.49</v>
      </c>
      <c r="F32" s="7">
        <f>B32*241/100</f>
        <v>168.7</v>
      </c>
      <c r="G32" s="7"/>
      <c r="H32" s="7"/>
      <c r="I32" s="1"/>
    </row>
    <row r="33" spans="1:9" x14ac:dyDescent="0.25">
      <c r="A33" s="1" t="s">
        <v>7</v>
      </c>
      <c r="B33" s="8">
        <v>30</v>
      </c>
      <c r="C33" s="10">
        <f>B33*2.8/100</f>
        <v>0.84</v>
      </c>
      <c r="D33" s="10">
        <f>B33*3.5/100</f>
        <v>1.05</v>
      </c>
      <c r="E33" s="7">
        <f>B33*4.7/100</f>
        <v>1.41</v>
      </c>
      <c r="F33" s="10">
        <f>B33*61/100</f>
        <v>18.3</v>
      </c>
      <c r="G33" s="7"/>
      <c r="H33" s="7"/>
      <c r="I33" s="1"/>
    </row>
    <row r="34" spans="1:9" x14ac:dyDescent="0.25">
      <c r="A34" s="1" t="s">
        <v>20</v>
      </c>
      <c r="B34" s="8">
        <v>26</v>
      </c>
      <c r="C34" s="10">
        <f>B34*1.4/100</f>
        <v>0.36399999999999999</v>
      </c>
      <c r="D34" s="10">
        <f>B34*0/100</f>
        <v>0</v>
      </c>
      <c r="E34" s="7">
        <f>B34*9.1/100</f>
        <v>2.3660000000000001</v>
      </c>
      <c r="F34" s="10">
        <f>B34*41/100</f>
        <v>10.66</v>
      </c>
      <c r="G34" s="7"/>
      <c r="H34" s="7"/>
      <c r="I34" s="1"/>
    </row>
    <row r="35" spans="1:9" x14ac:dyDescent="0.25">
      <c r="A35" s="1" t="s">
        <v>16</v>
      </c>
      <c r="B35" s="8">
        <v>13</v>
      </c>
      <c r="C35" s="10">
        <f>B35*1.3/100</f>
        <v>0.16900000000000001</v>
      </c>
      <c r="D35" s="10">
        <f>B35*0.1/100</f>
        <v>1.3000000000000001E-2</v>
      </c>
      <c r="E35" s="7">
        <f>B35*8.4/100</f>
        <v>1.0920000000000001</v>
      </c>
      <c r="F35" s="10">
        <f>B35*34/100</f>
        <v>4.42</v>
      </c>
      <c r="G35" s="7"/>
      <c r="H35" s="7"/>
      <c r="I35" s="1"/>
    </row>
    <row r="36" spans="1:9" x14ac:dyDescent="0.25">
      <c r="A36" s="1" t="s">
        <v>21</v>
      </c>
      <c r="B36" s="8">
        <v>10</v>
      </c>
      <c r="C36" s="10">
        <f>B36*12.7/100</f>
        <v>1.27</v>
      </c>
      <c r="D36" s="10">
        <f>B36*11.5/100</f>
        <v>1.1499999999999999</v>
      </c>
      <c r="E36" s="7">
        <f>B36*0.7/100</f>
        <v>7.0000000000000007E-2</v>
      </c>
      <c r="F36" s="10">
        <f>B36*157/100</f>
        <v>15.7</v>
      </c>
      <c r="G36" s="7"/>
      <c r="H36" s="7"/>
      <c r="I36" s="1"/>
    </row>
    <row r="37" spans="1:9" x14ac:dyDescent="0.25">
      <c r="A37" s="1" t="s">
        <v>123</v>
      </c>
      <c r="B37" s="8">
        <v>6</v>
      </c>
      <c r="C37" s="10">
        <f>B37*10.3/100</f>
        <v>0.61799999999999999</v>
      </c>
      <c r="D37" s="10">
        <f>B37*1.1/100</f>
        <v>6.6000000000000003E-2</v>
      </c>
      <c r="E37" s="7">
        <f>B37*69/100</f>
        <v>4.1399999999999997</v>
      </c>
      <c r="F37" s="10">
        <f>B37*334/100</f>
        <v>20.04</v>
      </c>
      <c r="G37" s="7"/>
      <c r="H37" s="7"/>
      <c r="I37" s="1"/>
    </row>
    <row r="38" spans="1:9" x14ac:dyDescent="0.25">
      <c r="A38" s="1" t="s">
        <v>28</v>
      </c>
      <c r="B38" s="8">
        <v>6</v>
      </c>
      <c r="C38" s="10">
        <f>B38*4.8/100</f>
        <v>0.28799999999999998</v>
      </c>
      <c r="D38" s="10">
        <f>B38*0/100</f>
        <v>0</v>
      </c>
      <c r="E38" s="7">
        <f>B38*19/100</f>
        <v>1.1399999999999999</v>
      </c>
      <c r="F38" s="10">
        <f>B38*99/100</f>
        <v>5.94</v>
      </c>
      <c r="G38" s="7"/>
      <c r="H38" s="7"/>
      <c r="I38" s="1"/>
    </row>
    <row r="39" spans="1:9" x14ac:dyDescent="0.25">
      <c r="A39" s="1" t="s">
        <v>8</v>
      </c>
      <c r="B39" s="8">
        <v>2</v>
      </c>
      <c r="C39" s="10">
        <f>B39*0.7/100</f>
        <v>1.3999999999999999E-2</v>
      </c>
      <c r="D39" s="10">
        <f t="shared" ref="D39" si="1">B39*72.5/100</f>
        <v>1.45</v>
      </c>
      <c r="E39" s="7">
        <f>B39*1/100</f>
        <v>0.02</v>
      </c>
      <c r="F39" s="10">
        <f>B39*709/100</f>
        <v>14.18</v>
      </c>
      <c r="G39" s="7"/>
      <c r="H39" s="7"/>
      <c r="I39" s="1"/>
    </row>
    <row r="40" spans="1:9" x14ac:dyDescent="0.25">
      <c r="A40" s="1" t="s">
        <v>57</v>
      </c>
      <c r="B40" s="8">
        <v>3</v>
      </c>
      <c r="C40" s="10">
        <f>B40*0/100</f>
        <v>0</v>
      </c>
      <c r="D40" s="10">
        <f>B40*99.9/100</f>
        <v>2.9970000000000003</v>
      </c>
      <c r="E40" s="7">
        <f>B40*0/100</f>
        <v>0</v>
      </c>
      <c r="F40" s="10">
        <f>B40*899/100</f>
        <v>26.97</v>
      </c>
      <c r="G40" s="5" t="s">
        <v>339</v>
      </c>
      <c r="H40" s="5"/>
      <c r="I40" s="1" t="s">
        <v>275</v>
      </c>
    </row>
    <row r="41" spans="1:9" x14ac:dyDescent="0.25">
      <c r="A41" s="2" t="s">
        <v>14</v>
      </c>
      <c r="B41" s="5"/>
      <c r="C41" s="5">
        <f>C32+C33+C34+C35+C36+C37+C38+C39+C40</f>
        <v>16.303000000000001</v>
      </c>
      <c r="D41" s="5">
        <f>D32+D33+D34+D35+D36+D37+D38+D39+D40</f>
        <v>19.606000000000002</v>
      </c>
      <c r="E41" s="5">
        <f>E33+E34+E35+E36+E37+E38+E39+E40</f>
        <v>10.238</v>
      </c>
      <c r="F41" s="5">
        <f>F32+F33+F34+F35+F36+F37+F38+F39+F40</f>
        <v>284.90999999999997</v>
      </c>
      <c r="G41" s="7"/>
      <c r="H41" s="7"/>
      <c r="I41" s="1"/>
    </row>
    <row r="42" spans="1:9" x14ac:dyDescent="0.25">
      <c r="A42" s="1" t="s">
        <v>17</v>
      </c>
      <c r="B42" s="8">
        <v>30</v>
      </c>
      <c r="C42" s="10">
        <f>B42*10.4/100</f>
        <v>3.12</v>
      </c>
      <c r="D42" s="10">
        <f>B42*1.1/100</f>
        <v>0.33</v>
      </c>
      <c r="E42" s="10">
        <f>B42*69.7/100</f>
        <v>20.91</v>
      </c>
      <c r="F42" s="10">
        <f>B42*337/100</f>
        <v>101.1</v>
      </c>
      <c r="G42" s="7"/>
      <c r="H42" s="7"/>
      <c r="I42" s="1"/>
    </row>
    <row r="43" spans="1:9" x14ac:dyDescent="0.25">
      <c r="A43" s="1" t="s">
        <v>132</v>
      </c>
      <c r="B43" s="7">
        <v>2</v>
      </c>
      <c r="C43" s="10">
        <f>B43*0.7/100</f>
        <v>1.3999999999999999E-2</v>
      </c>
      <c r="D43" s="10">
        <f>B43*72.5/100</f>
        <v>1.45</v>
      </c>
      <c r="E43" s="10">
        <f>B43*1/100</f>
        <v>0.02</v>
      </c>
      <c r="F43" s="10">
        <f>B43*709/100</f>
        <v>14.18</v>
      </c>
      <c r="G43" s="7"/>
      <c r="H43" s="7"/>
      <c r="I43" s="1"/>
    </row>
    <row r="44" spans="1:9" x14ac:dyDescent="0.25">
      <c r="A44" s="2" t="s">
        <v>14</v>
      </c>
      <c r="B44" s="5"/>
      <c r="C44" s="5">
        <f>C42+C43</f>
        <v>3.1339999999999999</v>
      </c>
      <c r="D44" s="5">
        <f>D42+D43</f>
        <v>1.78</v>
      </c>
      <c r="E44" s="5">
        <f>E42+E43</f>
        <v>20.93</v>
      </c>
      <c r="F44" s="5">
        <f>F42+F43</f>
        <v>115.28</v>
      </c>
      <c r="G44" s="5">
        <v>75</v>
      </c>
      <c r="H44" s="5"/>
      <c r="I44" s="1" t="s">
        <v>249</v>
      </c>
    </row>
    <row r="45" spans="1:9" x14ac:dyDescent="0.25">
      <c r="A45" s="2" t="s">
        <v>87</v>
      </c>
      <c r="B45" s="7"/>
      <c r="C45" s="10"/>
      <c r="D45" s="10"/>
      <c r="E45" s="10"/>
      <c r="F45" s="10"/>
      <c r="G45" s="7"/>
      <c r="H45" s="7"/>
      <c r="I45" s="1"/>
    </row>
    <row r="46" spans="1:9" x14ac:dyDescent="0.25">
      <c r="A46" s="1" t="s">
        <v>88</v>
      </c>
      <c r="B46" s="8">
        <v>9</v>
      </c>
      <c r="C46" s="10">
        <f>B46*3/100</f>
        <v>0.27</v>
      </c>
      <c r="D46" s="10">
        <f>B46*0/100</f>
        <v>0</v>
      </c>
      <c r="E46" s="10">
        <f>B46*21.5/100</f>
        <v>1.9350000000000001</v>
      </c>
      <c r="F46" s="10">
        <f>B46*110/100</f>
        <v>9.9</v>
      </c>
      <c r="G46" s="7"/>
      <c r="H46" s="7"/>
      <c r="I46" s="1"/>
    </row>
    <row r="47" spans="1:9" x14ac:dyDescent="0.25">
      <c r="A47" s="1" t="s">
        <v>9</v>
      </c>
      <c r="B47" s="8">
        <v>7</v>
      </c>
      <c r="C47" s="10">
        <f>B47*0/100</f>
        <v>0</v>
      </c>
      <c r="D47" s="10">
        <f>B47*0/100</f>
        <v>0</v>
      </c>
      <c r="E47" s="10">
        <f>B47*99.8/100</f>
        <v>6.9860000000000007</v>
      </c>
      <c r="F47" s="10">
        <f>B47*379/100</f>
        <v>26.53</v>
      </c>
      <c r="G47" s="7"/>
      <c r="H47" s="7"/>
      <c r="I47" s="1"/>
    </row>
    <row r="48" spans="1:9" x14ac:dyDescent="0.25">
      <c r="A48" s="2" t="s">
        <v>14</v>
      </c>
      <c r="B48" s="5"/>
      <c r="C48" s="5">
        <f>C46+C47</f>
        <v>0.27</v>
      </c>
      <c r="D48" s="5">
        <f t="shared" ref="D48" si="2">B48*0.1/100</f>
        <v>0</v>
      </c>
      <c r="E48" s="5">
        <f>E46+E47</f>
        <v>8.9210000000000012</v>
      </c>
      <c r="F48" s="5">
        <f>F46+F47</f>
        <v>36.43</v>
      </c>
      <c r="G48" s="5">
        <v>180</v>
      </c>
      <c r="H48" s="5"/>
      <c r="I48" s="1" t="s">
        <v>230</v>
      </c>
    </row>
    <row r="49" spans="1:9" x14ac:dyDescent="0.25">
      <c r="A49" s="2" t="s">
        <v>138</v>
      </c>
      <c r="B49" s="5">
        <v>50</v>
      </c>
      <c r="C49" s="5">
        <f>B49*0.8/100</f>
        <v>0.4</v>
      </c>
      <c r="D49" s="5">
        <f>B49*4/100</f>
        <v>2</v>
      </c>
      <c r="E49" s="5">
        <f>B49*4.3/100</f>
        <v>2.15</v>
      </c>
      <c r="F49" s="5">
        <f>B49*55/100</f>
        <v>27.5</v>
      </c>
      <c r="G49" s="5">
        <v>50</v>
      </c>
      <c r="H49" s="5"/>
      <c r="I49" s="1" t="s">
        <v>250</v>
      </c>
    </row>
    <row r="50" spans="1:9" x14ac:dyDescent="0.25">
      <c r="A50" s="1" t="s">
        <v>32</v>
      </c>
      <c r="B50" s="5">
        <v>37</v>
      </c>
      <c r="C50" s="10">
        <f>B50*6.6/100</f>
        <v>2.4419999999999997</v>
      </c>
      <c r="D50" s="10">
        <f>B50*1.2/100</f>
        <v>0.44400000000000001</v>
      </c>
      <c r="E50" s="10">
        <f>B50*34.2/100</f>
        <v>12.654000000000002</v>
      </c>
      <c r="F50" s="10">
        <f>B50*181/100</f>
        <v>66.97</v>
      </c>
      <c r="G50" s="5">
        <v>37</v>
      </c>
      <c r="H50" s="5"/>
      <c r="I50" s="1"/>
    </row>
    <row r="51" spans="1:9" x14ac:dyDescent="0.25">
      <c r="A51" s="2" t="s">
        <v>76</v>
      </c>
      <c r="B51" s="5"/>
      <c r="C51" s="5">
        <f>C29+C41+C44+C44+C48+C49+C50</f>
        <v>28.73</v>
      </c>
      <c r="D51" s="5">
        <f>D29+D41+D44+D49+D50</f>
        <v>27.778000000000002</v>
      </c>
      <c r="E51" s="5">
        <f>E29+E41+E44+E48+E49+E50</f>
        <v>68.292999999999992</v>
      </c>
      <c r="F51" s="5">
        <f>F29+F41+F44+F48+F49+F50</f>
        <v>639.32999999999993</v>
      </c>
      <c r="G51" s="5">
        <v>647</v>
      </c>
      <c r="H51" s="7"/>
      <c r="I51" s="1"/>
    </row>
    <row r="52" spans="1:9" x14ac:dyDescent="0.25">
      <c r="A52" s="1" t="s">
        <v>196</v>
      </c>
      <c r="B52" s="7">
        <v>3.75</v>
      </c>
      <c r="C52" s="10"/>
      <c r="D52" s="10"/>
      <c r="E52" s="10"/>
      <c r="F52" s="10"/>
      <c r="G52" s="7"/>
      <c r="H52" s="7"/>
      <c r="I52" s="1"/>
    </row>
    <row r="53" spans="1:9" ht="19.5" customHeight="1" x14ac:dyDescent="0.25">
      <c r="A53" s="14" t="s">
        <v>277</v>
      </c>
      <c r="B53" s="16"/>
      <c r="C53" s="16"/>
      <c r="D53" s="16"/>
      <c r="E53" s="16"/>
      <c r="F53" s="16"/>
      <c r="G53" s="5"/>
      <c r="H53" s="5"/>
      <c r="I53" s="1"/>
    </row>
    <row r="54" spans="1:9" x14ac:dyDescent="0.25">
      <c r="A54" s="25" t="s">
        <v>302</v>
      </c>
      <c r="B54" s="7"/>
      <c r="C54" s="10"/>
      <c r="D54" s="10"/>
      <c r="E54" s="10"/>
      <c r="F54" s="7"/>
      <c r="G54" s="7"/>
      <c r="H54" s="7"/>
      <c r="I54" s="1"/>
    </row>
    <row r="55" spans="1:9" x14ac:dyDescent="0.25">
      <c r="A55" s="1" t="s">
        <v>60</v>
      </c>
      <c r="B55" s="8">
        <v>150</v>
      </c>
      <c r="C55" s="10">
        <f>B55*16.7/100</f>
        <v>25.05</v>
      </c>
      <c r="D55" s="10">
        <f>B55*9/100</f>
        <v>13.5</v>
      </c>
      <c r="E55" s="10">
        <f>B55*1.9/100</f>
        <v>2.85</v>
      </c>
      <c r="F55" s="7">
        <f>B55*88/100</f>
        <v>132</v>
      </c>
      <c r="G55" s="7"/>
      <c r="H55" s="7"/>
      <c r="I55" s="1"/>
    </row>
    <row r="56" spans="1:9" x14ac:dyDescent="0.25">
      <c r="A56" s="1" t="s">
        <v>61</v>
      </c>
      <c r="B56" s="8">
        <v>8</v>
      </c>
      <c r="C56" s="10">
        <f>B56*10.3/100</f>
        <v>0.82400000000000007</v>
      </c>
      <c r="D56" s="10">
        <f>B56*1/100</f>
        <v>0.08</v>
      </c>
      <c r="E56" s="10">
        <f>B56*67.9/100</f>
        <v>5.4320000000000004</v>
      </c>
      <c r="F56" s="7">
        <f>B56*328/100</f>
        <v>26.24</v>
      </c>
      <c r="G56" s="7"/>
      <c r="H56" s="7"/>
      <c r="I56" s="1"/>
    </row>
    <row r="57" spans="1:9" x14ac:dyDescent="0.25">
      <c r="A57" s="1" t="s">
        <v>21</v>
      </c>
      <c r="B57" s="8">
        <v>9</v>
      </c>
      <c r="C57" s="10">
        <f>B57*12.7/100</f>
        <v>1.143</v>
      </c>
      <c r="D57" s="10">
        <f>B57*11.5/100</f>
        <v>1.0349999999999999</v>
      </c>
      <c r="E57" s="10">
        <f>B57*0.7/100</f>
        <v>6.3E-2</v>
      </c>
      <c r="F57" s="7">
        <f>B57*157/100</f>
        <v>14.13</v>
      </c>
      <c r="G57" s="7"/>
      <c r="H57" s="7"/>
      <c r="I57" s="1"/>
    </row>
    <row r="58" spans="1:9" x14ac:dyDescent="0.25">
      <c r="A58" s="1" t="s">
        <v>293</v>
      </c>
      <c r="B58" s="8">
        <v>8</v>
      </c>
      <c r="C58" s="10">
        <f>B58*1.3/100</f>
        <v>0.10400000000000001</v>
      </c>
      <c r="D58" s="10">
        <f>B58*0.1/100</f>
        <v>8.0000000000000002E-3</v>
      </c>
      <c r="E58" s="10">
        <f>B58*8.4/100</f>
        <v>0.67200000000000004</v>
      </c>
      <c r="F58" s="7">
        <f>B58*34/100</f>
        <v>2.72</v>
      </c>
      <c r="G58" s="7"/>
      <c r="H58" s="7"/>
      <c r="I58" s="1"/>
    </row>
    <row r="59" spans="1:9" x14ac:dyDescent="0.25">
      <c r="A59" s="1" t="s">
        <v>7</v>
      </c>
      <c r="B59" s="8">
        <v>30</v>
      </c>
      <c r="C59" s="10">
        <f>B59*2.8/100</f>
        <v>0.84</v>
      </c>
      <c r="D59" s="10">
        <f>B59*3.5/100</f>
        <v>1.05</v>
      </c>
      <c r="E59" s="10">
        <f>B59*4.7/100</f>
        <v>1.41</v>
      </c>
      <c r="F59" s="7">
        <f>B59*61/100</f>
        <v>18.3</v>
      </c>
      <c r="G59" s="7"/>
      <c r="H59" s="7"/>
      <c r="I59" s="1"/>
    </row>
    <row r="60" spans="1:9" x14ac:dyDescent="0.25">
      <c r="A60" s="1" t="s">
        <v>8</v>
      </c>
      <c r="B60" s="8">
        <v>2</v>
      </c>
      <c r="C60" s="10">
        <f>B60*0.7/100</f>
        <v>1.3999999999999999E-2</v>
      </c>
      <c r="D60" s="10">
        <f>B60*72.5/100</f>
        <v>1.45</v>
      </c>
      <c r="E60" s="10">
        <f>B60*1/100</f>
        <v>0.02</v>
      </c>
      <c r="F60" s="7">
        <f>B60*709/100</f>
        <v>14.18</v>
      </c>
      <c r="G60" s="7"/>
      <c r="H60" s="7"/>
      <c r="I60" s="1"/>
    </row>
    <row r="61" spans="1:9" x14ac:dyDescent="0.25">
      <c r="A61" s="1" t="s">
        <v>57</v>
      </c>
      <c r="B61" s="8">
        <v>3</v>
      </c>
      <c r="C61" s="10">
        <f t="shared" ref="C61" si="3">B61*0/100</f>
        <v>0</v>
      </c>
      <c r="D61" s="10">
        <f>B61*99.9/100</f>
        <v>2.9970000000000003</v>
      </c>
      <c r="E61" s="10">
        <f t="shared" ref="E61" si="4">B61*0/100</f>
        <v>0</v>
      </c>
      <c r="F61" s="7">
        <f>B61*899/100</f>
        <v>26.97</v>
      </c>
      <c r="G61" s="7"/>
      <c r="H61" s="7"/>
      <c r="I61" s="1"/>
    </row>
    <row r="62" spans="1:9" x14ac:dyDescent="0.25">
      <c r="A62" s="1" t="s">
        <v>131</v>
      </c>
      <c r="B62" s="8">
        <v>30</v>
      </c>
      <c r="C62" s="10">
        <f>B62*0.4/100</f>
        <v>0.12</v>
      </c>
      <c r="D62" s="10">
        <f>B62*0.6/100</f>
        <v>0.18</v>
      </c>
      <c r="E62" s="10">
        <f>B62*3.9/100</f>
        <v>1.17</v>
      </c>
      <c r="F62" s="7">
        <f>B62*320/100</f>
        <v>96</v>
      </c>
      <c r="G62" s="5"/>
      <c r="H62" s="5"/>
      <c r="I62" s="1"/>
    </row>
    <row r="63" spans="1:9" x14ac:dyDescent="0.25">
      <c r="A63" s="3" t="s">
        <v>9</v>
      </c>
      <c r="B63" s="11">
        <v>9</v>
      </c>
      <c r="C63" s="10">
        <f t="shared" ref="C63" si="5">B63*7.2/100</f>
        <v>0.64800000000000002</v>
      </c>
      <c r="D63" s="10">
        <f t="shared" ref="D63" si="6">B63*8.5/100</f>
        <v>0.76500000000000001</v>
      </c>
      <c r="E63" s="10">
        <f>B63*99.8/100</f>
        <v>8.9819999999999993</v>
      </c>
      <c r="F63" s="10">
        <f>B63*242/100</f>
        <v>21.78</v>
      </c>
      <c r="G63" s="5" t="s">
        <v>346</v>
      </c>
      <c r="H63" s="5"/>
      <c r="I63" s="1"/>
    </row>
    <row r="64" spans="1:9" x14ac:dyDescent="0.25">
      <c r="A64" s="2" t="s">
        <v>91</v>
      </c>
      <c r="B64" s="5"/>
      <c r="C64" s="5">
        <f>C55+C56+C57+C58+C59+C60+C61+C62+C63</f>
        <v>28.743000000000002</v>
      </c>
      <c r="D64" s="5">
        <f>D55+D56+D57+D58+D59+D60+D61+D62+D63</f>
        <v>21.065000000000001</v>
      </c>
      <c r="E64" s="5">
        <f>E55+E56+E57+E58+E59+E60+E61+E62+E63</f>
        <v>20.599</v>
      </c>
      <c r="F64" s="5">
        <f>F55+F56+F57+F58+F59+F60+F61+F62+F63</f>
        <v>352.32000000000005</v>
      </c>
      <c r="G64" s="5"/>
      <c r="H64" s="5"/>
      <c r="I64" s="1" t="s">
        <v>303</v>
      </c>
    </row>
    <row r="65" spans="1:9" x14ac:dyDescent="0.25">
      <c r="A65" s="2" t="s">
        <v>63</v>
      </c>
      <c r="B65" s="5"/>
      <c r="C65" s="5"/>
      <c r="D65" s="5"/>
      <c r="E65" s="5"/>
      <c r="F65" s="5"/>
      <c r="G65" s="7"/>
      <c r="H65" s="7"/>
      <c r="I65" s="1"/>
    </row>
    <row r="66" spans="1:9" x14ac:dyDescent="0.25">
      <c r="A66" s="1" t="s">
        <v>89</v>
      </c>
      <c r="B66" s="8">
        <v>2</v>
      </c>
      <c r="C66" s="7">
        <f>B66*24.2/100</f>
        <v>0.48399999999999999</v>
      </c>
      <c r="D66" s="7">
        <f>B66*17.5/100</f>
        <v>0.35</v>
      </c>
      <c r="E66" s="7">
        <f>B66*27.9/100</f>
        <v>0.55799999999999994</v>
      </c>
      <c r="F66" s="7">
        <f>B66*373/100</f>
        <v>7.46</v>
      </c>
      <c r="G66" s="7"/>
      <c r="H66" s="7"/>
      <c r="I66" s="1"/>
    </row>
    <row r="67" spans="1:9" x14ac:dyDescent="0.25">
      <c r="A67" s="1" t="s">
        <v>7</v>
      </c>
      <c r="B67" s="8">
        <v>130</v>
      </c>
      <c r="C67" s="7">
        <f>B67*2.8/100</f>
        <v>3.64</v>
      </c>
      <c r="D67" s="7">
        <f>B67*3.5/100</f>
        <v>4.55</v>
      </c>
      <c r="E67" s="7">
        <f>B67*4.7/100</f>
        <v>6.11</v>
      </c>
      <c r="F67" s="7">
        <f>B67*61/100</f>
        <v>79.3</v>
      </c>
      <c r="G67" s="7"/>
      <c r="H67" s="7"/>
      <c r="I67" s="1"/>
    </row>
    <row r="68" spans="1:9" x14ac:dyDescent="0.25">
      <c r="A68" s="1" t="s">
        <v>9</v>
      </c>
      <c r="B68" s="8">
        <v>5</v>
      </c>
      <c r="C68" s="7">
        <f>B68*0/100</f>
        <v>0</v>
      </c>
      <c r="D68" s="7">
        <f>B68*0/100</f>
        <v>0</v>
      </c>
      <c r="E68" s="7">
        <f>B68*199.8/100</f>
        <v>9.99</v>
      </c>
      <c r="F68" s="7">
        <f>B68*379/100</f>
        <v>18.95</v>
      </c>
      <c r="G68" s="5"/>
      <c r="H68" s="5"/>
      <c r="I68" s="1"/>
    </row>
    <row r="69" spans="1:9" x14ac:dyDescent="0.25">
      <c r="A69" s="2" t="s">
        <v>14</v>
      </c>
      <c r="B69" s="5"/>
      <c r="C69" s="5">
        <f>C65+C66+C67</f>
        <v>4.1240000000000006</v>
      </c>
      <c r="D69" s="5">
        <f>D66+D67+D68</f>
        <v>4.8999999999999995</v>
      </c>
      <c r="E69" s="5">
        <f>E66+E67+E68</f>
        <v>16.658000000000001</v>
      </c>
      <c r="F69" s="5">
        <f>F66+F67+F68</f>
        <v>105.71</v>
      </c>
      <c r="G69" s="5">
        <v>180</v>
      </c>
      <c r="H69" s="5"/>
      <c r="I69" s="1" t="s">
        <v>208</v>
      </c>
    </row>
    <row r="70" spans="1:9" x14ac:dyDescent="0.25">
      <c r="A70" s="2" t="s">
        <v>283</v>
      </c>
      <c r="B70" s="5"/>
      <c r="C70" s="21">
        <f>C64+C69</f>
        <v>32.867000000000004</v>
      </c>
      <c r="D70" s="5">
        <f>D64+D69</f>
        <v>25.965</v>
      </c>
      <c r="E70" s="5">
        <f>E64+E69</f>
        <v>37.257000000000005</v>
      </c>
      <c r="F70" s="5">
        <f>F64+F69</f>
        <v>458.03000000000003</v>
      </c>
      <c r="G70" s="5">
        <v>400</v>
      </c>
      <c r="H70" s="7"/>
      <c r="I70" s="1"/>
    </row>
    <row r="71" spans="1:9" x14ac:dyDescent="0.25">
      <c r="A71" s="1"/>
      <c r="B71" s="7"/>
      <c r="C71" s="10"/>
      <c r="D71" s="10"/>
      <c r="E71" s="10"/>
      <c r="F71" s="10"/>
      <c r="G71" s="7"/>
      <c r="H71" s="7"/>
      <c r="I71" s="1"/>
    </row>
    <row r="72" spans="1:9" x14ac:dyDescent="0.25">
      <c r="A72" s="2" t="s">
        <v>281</v>
      </c>
      <c r="B72" s="7"/>
      <c r="C72" s="21">
        <f>C15+C17+C51+C70</f>
        <v>73.884000000000015</v>
      </c>
      <c r="D72" s="5">
        <f>D15+D17+D51+D70</f>
        <v>68.301000000000002</v>
      </c>
      <c r="E72" s="5">
        <f>E15+E17+E51+E70</f>
        <v>183.42500000000001</v>
      </c>
      <c r="F72" s="5">
        <f>F15+F17+F51+F70</f>
        <v>1618.09</v>
      </c>
      <c r="G72" s="7"/>
      <c r="H72" s="7"/>
      <c r="I72" s="1"/>
    </row>
    <row r="73" spans="1:9" x14ac:dyDescent="0.25">
      <c r="A73" s="1"/>
      <c r="B73" s="7"/>
      <c r="C73" s="10"/>
      <c r="D73" s="10"/>
      <c r="E73" s="10"/>
      <c r="F73" s="10"/>
      <c r="G73" s="7"/>
      <c r="H73" s="7"/>
      <c r="I73" s="1"/>
    </row>
    <row r="74" spans="1:9" x14ac:dyDescent="0.25">
      <c r="A74" s="1" t="s">
        <v>301</v>
      </c>
      <c r="B74" s="7"/>
      <c r="C74" s="10"/>
      <c r="D74" s="10"/>
      <c r="E74" s="10"/>
      <c r="F74" s="10"/>
      <c r="G74" s="7"/>
      <c r="H74" s="7"/>
      <c r="I74" s="1"/>
    </row>
  </sheetData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workbookViewId="0">
      <selection activeCell="I25" sqref="I25"/>
    </sheetView>
  </sheetViews>
  <sheetFormatPr defaultRowHeight="15" x14ac:dyDescent="0.25"/>
  <cols>
    <col min="1" max="1" width="43" customWidth="1"/>
    <col min="2" max="2" width="7.7109375" customWidth="1"/>
    <col min="3" max="3" width="8.5703125" customWidth="1"/>
    <col min="7" max="8" width="7.85546875" customWidth="1"/>
    <col min="9" max="9" width="13.5703125" customWidth="1"/>
  </cols>
  <sheetData>
    <row r="1" spans="1:9" x14ac:dyDescent="0.25">
      <c r="A1" s="2" t="s">
        <v>36</v>
      </c>
      <c r="B1" s="7"/>
      <c r="C1" s="10"/>
      <c r="D1" s="10"/>
      <c r="E1" s="10"/>
      <c r="F1" s="10"/>
      <c r="G1" s="5"/>
      <c r="H1" s="5" t="s">
        <v>348</v>
      </c>
      <c r="I1" s="2" t="s">
        <v>197</v>
      </c>
    </row>
    <row r="2" spans="1:9" x14ac:dyDescent="0.25">
      <c r="A2" s="2" t="s">
        <v>317</v>
      </c>
      <c r="B2" s="8"/>
      <c r="C2" s="10"/>
      <c r="D2" s="10"/>
      <c r="E2" s="10"/>
      <c r="F2" s="10"/>
      <c r="G2" s="7"/>
      <c r="H2" s="7"/>
      <c r="I2" s="1"/>
    </row>
    <row r="3" spans="1:9" x14ac:dyDescent="0.25">
      <c r="A3" s="1" t="s">
        <v>312</v>
      </c>
      <c r="B3" s="8">
        <v>25</v>
      </c>
      <c r="C3" s="10">
        <f>B3*10.3/100</f>
        <v>2.5750000000000002</v>
      </c>
      <c r="D3" s="10">
        <f>B3*1/100</f>
        <v>0.25</v>
      </c>
      <c r="E3" s="10">
        <f>B3*67.9/100</f>
        <v>16.975000000000001</v>
      </c>
      <c r="F3" s="10">
        <f>B3*328/100</f>
        <v>82</v>
      </c>
      <c r="G3" s="7"/>
      <c r="H3" s="7"/>
      <c r="I3" s="1"/>
    </row>
    <row r="4" spans="1:9" x14ac:dyDescent="0.25">
      <c r="A4" s="1" t="s">
        <v>7</v>
      </c>
      <c r="B4" s="8">
        <v>150</v>
      </c>
      <c r="C4" s="10">
        <f>B4*2.8/100</f>
        <v>4.2</v>
      </c>
      <c r="D4" s="10">
        <f>B4*3.5/100</f>
        <v>5.25</v>
      </c>
      <c r="E4" s="10">
        <f>B4*4.7/100</f>
        <v>7.05</v>
      </c>
      <c r="F4" s="10">
        <f>B4*61/100</f>
        <v>91.5</v>
      </c>
      <c r="G4" s="7"/>
      <c r="H4" s="7"/>
      <c r="I4" s="1"/>
    </row>
    <row r="5" spans="1:9" x14ac:dyDescent="0.25">
      <c r="A5" s="1" t="s">
        <v>8</v>
      </c>
      <c r="B5" s="8">
        <v>2</v>
      </c>
      <c r="C5" s="10">
        <f>B5*0.7/100</f>
        <v>1.3999999999999999E-2</v>
      </c>
      <c r="D5" s="10">
        <f>B5*72.5/100</f>
        <v>1.45</v>
      </c>
      <c r="E5" s="10">
        <f>B5*1/100</f>
        <v>0.02</v>
      </c>
      <c r="F5" s="10">
        <f>B5*709/100</f>
        <v>14.18</v>
      </c>
      <c r="G5" s="5"/>
      <c r="H5" s="5"/>
      <c r="I5" s="1"/>
    </row>
    <row r="6" spans="1:9" x14ac:dyDescent="0.25">
      <c r="A6" s="1" t="s">
        <v>9</v>
      </c>
      <c r="B6" s="8">
        <v>5</v>
      </c>
      <c r="C6" s="10">
        <f>B6*0/100</f>
        <v>0</v>
      </c>
      <c r="D6" s="10">
        <f>B6*0/100</f>
        <v>0</v>
      </c>
      <c r="E6" s="10">
        <f>B6*99.8/100</f>
        <v>4.99</v>
      </c>
      <c r="F6" s="10">
        <f t="shared" ref="F6:F11" si="0">B6*379/100</f>
        <v>18.95</v>
      </c>
      <c r="G6" s="5"/>
      <c r="H6" s="5"/>
      <c r="I6" s="1"/>
    </row>
    <row r="7" spans="1:9" x14ac:dyDescent="0.25">
      <c r="A7" s="2" t="s">
        <v>14</v>
      </c>
      <c r="B7" s="5"/>
      <c r="C7" s="5">
        <f>C3+C4+C5+C6</f>
        <v>6.7890000000000006</v>
      </c>
      <c r="D7" s="5">
        <f>D3+D4+D5+D6</f>
        <v>6.95</v>
      </c>
      <c r="E7" s="5">
        <f>E3+E4+E5+E6</f>
        <v>29.035000000000004</v>
      </c>
      <c r="F7" s="5">
        <f>F3+F4+F5+F6</f>
        <v>206.63</v>
      </c>
      <c r="G7" s="5">
        <v>180</v>
      </c>
      <c r="H7" s="5"/>
      <c r="I7" s="1" t="s">
        <v>311</v>
      </c>
    </row>
    <row r="8" spans="1:9" x14ac:dyDescent="0.25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116</v>
      </c>
      <c r="B9" s="8">
        <v>1.5</v>
      </c>
      <c r="C9" s="10">
        <f>B9*24.2/100</f>
        <v>0.36299999999999999</v>
      </c>
      <c r="D9" s="10">
        <f>B9*17.5/100</f>
        <v>0.26250000000000001</v>
      </c>
      <c r="E9" s="10">
        <f>B9*27.9/100</f>
        <v>0.41849999999999993</v>
      </c>
      <c r="F9" s="10">
        <f>B9*373/100</f>
        <v>5.5949999999999998</v>
      </c>
      <c r="G9" s="5"/>
      <c r="H9" s="5"/>
      <c r="I9" s="1"/>
    </row>
    <row r="10" spans="1:9" x14ac:dyDescent="0.25">
      <c r="A10" s="1" t="s">
        <v>99</v>
      </c>
      <c r="B10" s="8">
        <v>130</v>
      </c>
      <c r="C10" s="10">
        <f>B10*2.8/100</f>
        <v>3.64</v>
      </c>
      <c r="D10" s="10">
        <f>B10*3.5/100</f>
        <v>4.55</v>
      </c>
      <c r="E10" s="10">
        <f>B10*4.7/100</f>
        <v>6.11</v>
      </c>
      <c r="F10" s="10">
        <f>B10*61/100</f>
        <v>79.3</v>
      </c>
      <c r="G10" s="5"/>
      <c r="H10" s="5"/>
      <c r="I10" s="1"/>
    </row>
    <row r="11" spans="1:9" x14ac:dyDescent="0.25">
      <c r="A11" s="1" t="s">
        <v>9</v>
      </c>
      <c r="B11" s="8">
        <v>6</v>
      </c>
      <c r="C11" s="10">
        <f>B11*0/100</f>
        <v>0</v>
      </c>
      <c r="D11" s="10">
        <f>B11*0/100</f>
        <v>0</v>
      </c>
      <c r="E11" s="10">
        <f>B11*99.8/100</f>
        <v>5.9879999999999995</v>
      </c>
      <c r="F11" s="10">
        <f t="shared" si="0"/>
        <v>22.74</v>
      </c>
      <c r="G11" s="5"/>
      <c r="H11" s="5"/>
      <c r="I11" s="1"/>
    </row>
    <row r="12" spans="1:9" x14ac:dyDescent="0.25">
      <c r="A12" s="2" t="s">
        <v>14</v>
      </c>
      <c r="B12" s="5"/>
      <c r="C12" s="5">
        <f>C9+C10+C11</f>
        <v>4.0030000000000001</v>
      </c>
      <c r="D12" s="5">
        <f>D9+D10+D11</f>
        <v>4.8125</v>
      </c>
      <c r="E12" s="5">
        <f>E9+E10+E11</f>
        <v>12.516500000000001</v>
      </c>
      <c r="F12" s="5">
        <f>F9+F10+F11</f>
        <v>107.63499999999999</v>
      </c>
      <c r="G12" s="5">
        <v>180</v>
      </c>
      <c r="H12" s="5"/>
      <c r="I12" s="1" t="s">
        <v>217</v>
      </c>
    </row>
    <row r="13" spans="1:9" x14ac:dyDescent="0.25">
      <c r="A13" s="1" t="s">
        <v>12</v>
      </c>
      <c r="B13" s="8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1" t="s">
        <v>8</v>
      </c>
      <c r="B14" s="8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 x14ac:dyDescent="0.25">
      <c r="A15" s="2" t="s">
        <v>21</v>
      </c>
      <c r="B15" s="8">
        <v>20</v>
      </c>
      <c r="C15" s="10">
        <f>B15*12.7/100</f>
        <v>2.54</v>
      </c>
      <c r="D15" s="10">
        <f>B15*11.5/100</f>
        <v>2.2999999999999998</v>
      </c>
      <c r="E15" s="10">
        <f>B15*0.8/100</f>
        <v>0.16</v>
      </c>
      <c r="F15" s="10">
        <f>B15*157/100</f>
        <v>31.4</v>
      </c>
      <c r="G15" s="5">
        <v>20</v>
      </c>
      <c r="H15" s="5"/>
      <c r="I15" s="1"/>
    </row>
    <row r="16" spans="1:9" x14ac:dyDescent="0.25">
      <c r="A16" s="2" t="s">
        <v>118</v>
      </c>
      <c r="B16" s="5"/>
      <c r="C16" s="5">
        <f>C7+C12+C13+C14+C15</f>
        <v>18.008000000000003</v>
      </c>
      <c r="D16" s="5">
        <f>D7+D12+D13+D14+D15</f>
        <v>21.662500000000001</v>
      </c>
      <c r="E16" s="5">
        <f>E7+E12+E13+E14+E15</f>
        <v>71.671499999999995</v>
      </c>
      <c r="F16" s="5">
        <f>F7+F12+F13+F14+F15</f>
        <v>559.58499999999992</v>
      </c>
      <c r="G16" s="5">
        <v>448</v>
      </c>
      <c r="H16" s="5"/>
      <c r="I16" s="1"/>
    </row>
    <row r="17" spans="1:9" x14ac:dyDescent="0.25">
      <c r="A17" s="1"/>
      <c r="B17" s="7"/>
      <c r="C17" s="10">
        <f t="shared" ref="C17" si="1">B17*1.5/100</f>
        <v>0</v>
      </c>
      <c r="D17" s="10">
        <f t="shared" ref="D17:D40" si="2">B17*72.5/100</f>
        <v>0</v>
      </c>
      <c r="E17" s="7">
        <f t="shared" ref="E17" si="3">B17*49.8/100</f>
        <v>0</v>
      </c>
      <c r="F17" s="10">
        <f t="shared" ref="F17" si="4">B17*89/100</f>
        <v>0</v>
      </c>
      <c r="G17" s="5"/>
      <c r="H17" s="5"/>
      <c r="I17" s="1"/>
    </row>
    <row r="18" spans="1:9" x14ac:dyDescent="0.25">
      <c r="A18" s="2" t="s">
        <v>145</v>
      </c>
      <c r="B18" s="5">
        <v>120</v>
      </c>
      <c r="C18" s="5">
        <f>B18*0.9/100</f>
        <v>1.08</v>
      </c>
      <c r="D18" s="5">
        <f>B18*0.2/100</f>
        <v>0.24</v>
      </c>
      <c r="E18" s="5">
        <f>B18*8.1/100</f>
        <v>9.7200000000000006</v>
      </c>
      <c r="F18" s="5">
        <f>B18*40/100</f>
        <v>48</v>
      </c>
      <c r="G18" s="5">
        <v>120</v>
      </c>
      <c r="H18" s="5"/>
      <c r="I18" s="1" t="s">
        <v>251</v>
      </c>
    </row>
    <row r="19" spans="1:9" x14ac:dyDescent="0.25">
      <c r="A19" s="1"/>
      <c r="B19" s="7"/>
      <c r="C19" s="10"/>
      <c r="D19" s="10"/>
      <c r="E19" s="7"/>
      <c r="F19" s="10"/>
      <c r="G19" s="7"/>
      <c r="H19" s="7"/>
      <c r="I19" s="1"/>
    </row>
    <row r="20" spans="1:9" x14ac:dyDescent="0.25">
      <c r="A20" s="1" t="s">
        <v>33</v>
      </c>
      <c r="B20" s="7"/>
      <c r="C20" s="10"/>
      <c r="D20" s="10"/>
      <c r="E20" s="7"/>
      <c r="F20" s="10"/>
      <c r="G20" s="7"/>
      <c r="H20" s="7"/>
      <c r="I20" s="1"/>
    </row>
    <row r="21" spans="1:9" x14ac:dyDescent="0.25">
      <c r="A21" s="2" t="s">
        <v>351</v>
      </c>
      <c r="B21" s="7"/>
      <c r="C21" s="10"/>
      <c r="D21" s="10"/>
      <c r="E21" s="7"/>
      <c r="F21" s="10"/>
      <c r="G21" s="7"/>
      <c r="H21" s="7"/>
      <c r="I21" s="1"/>
    </row>
    <row r="22" spans="1:9" x14ac:dyDescent="0.25">
      <c r="A22" s="1" t="s">
        <v>41</v>
      </c>
      <c r="B22" s="8">
        <v>30</v>
      </c>
      <c r="C22" s="10">
        <f>B22*18.6/100</f>
        <v>5.58</v>
      </c>
      <c r="D22" s="10">
        <f>B22*16/100</f>
        <v>4.8</v>
      </c>
      <c r="E22" s="7">
        <f>B22*0/100</f>
        <v>0</v>
      </c>
      <c r="F22" s="10">
        <f>B22*218/100</f>
        <v>65.400000000000006</v>
      </c>
      <c r="G22" s="7"/>
      <c r="H22" s="7"/>
      <c r="I22" s="1"/>
    </row>
    <row r="23" spans="1:9" x14ac:dyDescent="0.25">
      <c r="A23" s="1" t="s">
        <v>352</v>
      </c>
      <c r="B23" s="8">
        <v>15</v>
      </c>
      <c r="C23" s="10">
        <f>B23*5/100</f>
        <v>0.75</v>
      </c>
      <c r="D23" s="10">
        <f>B23*0.5/100</f>
        <v>7.4999999999999997E-2</v>
      </c>
      <c r="E23" s="7">
        <f>B23*12.8/100</f>
        <v>1.92</v>
      </c>
      <c r="F23" s="10">
        <f>B23*73/100</f>
        <v>10.95</v>
      </c>
      <c r="G23" s="7"/>
      <c r="H23" s="7"/>
      <c r="I23" s="1"/>
    </row>
    <row r="24" spans="1:9" x14ac:dyDescent="0.25">
      <c r="A24" s="1" t="s">
        <v>15</v>
      </c>
      <c r="B24" s="8">
        <v>40</v>
      </c>
      <c r="C24" s="10">
        <f>B24*2/100</f>
        <v>0.8</v>
      </c>
      <c r="D24" s="10">
        <f>B24*0.4/100</f>
        <v>0.16</v>
      </c>
      <c r="E24" s="7">
        <f>B24*17.3/100</f>
        <v>6.92</v>
      </c>
      <c r="F24" s="10">
        <f>B24*80/100</f>
        <v>32</v>
      </c>
      <c r="G24" s="7"/>
      <c r="H24" s="7"/>
      <c r="I24" s="1"/>
    </row>
    <row r="25" spans="1:9" ht="12" customHeight="1" x14ac:dyDescent="0.25">
      <c r="A25" s="1" t="s">
        <v>20</v>
      </c>
      <c r="B25" s="8">
        <v>13</v>
      </c>
      <c r="C25" s="10">
        <f>B25*1.4/100</f>
        <v>0.182</v>
      </c>
      <c r="D25" s="10">
        <f>B25*0/100</f>
        <v>0</v>
      </c>
      <c r="E25" s="7">
        <f>B25*9.1/100</f>
        <v>1.1830000000000001</v>
      </c>
      <c r="F25" s="10">
        <f>B25*41/100</f>
        <v>5.33</v>
      </c>
      <c r="G25" s="7"/>
      <c r="H25" s="7"/>
      <c r="I25" s="1"/>
    </row>
    <row r="26" spans="1:9" x14ac:dyDescent="0.25">
      <c r="A26" s="1" t="s">
        <v>16</v>
      </c>
      <c r="B26" s="8">
        <v>13</v>
      </c>
      <c r="C26" s="10">
        <f>B26*1.3/100</f>
        <v>0.16900000000000001</v>
      </c>
      <c r="D26" s="10">
        <f>B26*0.1/100</f>
        <v>1.3000000000000001E-2</v>
      </c>
      <c r="E26" s="7">
        <f>B26*8.4/100</f>
        <v>1.0920000000000001</v>
      </c>
      <c r="F26" s="10">
        <f>B26*34/100</f>
        <v>4.42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10">
        <f>B27*0.7/100</f>
        <v>1.3999999999999999E-2</v>
      </c>
      <c r="D27" s="10">
        <f t="shared" si="2"/>
        <v>1.45</v>
      </c>
      <c r="E27" s="7">
        <f>B27*1/100</f>
        <v>0.02</v>
      </c>
      <c r="F27" s="10">
        <f>B27*709/100</f>
        <v>14.18</v>
      </c>
      <c r="G27" s="5"/>
      <c r="H27" s="5"/>
      <c r="I27" s="1"/>
    </row>
    <row r="28" spans="1:9" x14ac:dyDescent="0.25">
      <c r="A28" s="2" t="s">
        <v>14</v>
      </c>
      <c r="B28" s="5"/>
      <c r="C28" s="5">
        <f>C22+C23+C24+C25+C26+C27</f>
        <v>7.4950000000000001</v>
      </c>
      <c r="D28" s="5">
        <f>D22+D23+D24+D25+D26+D27</f>
        <v>6.4980000000000002</v>
      </c>
      <c r="E28" s="5">
        <f>E22+E23+E24+E25+E26+E27</f>
        <v>11.135</v>
      </c>
      <c r="F28" s="5">
        <f>F22+F23+F24+F25+F26+F27</f>
        <v>132.28</v>
      </c>
      <c r="G28" s="5">
        <v>180</v>
      </c>
      <c r="H28" s="5"/>
      <c r="I28" s="1" t="s">
        <v>259</v>
      </c>
    </row>
    <row r="29" spans="1:9" x14ac:dyDescent="0.25">
      <c r="A29" s="2" t="s">
        <v>299</v>
      </c>
      <c r="B29" s="7"/>
      <c r="C29" s="10"/>
      <c r="D29" s="10"/>
      <c r="E29" s="7"/>
      <c r="F29" s="10"/>
      <c r="G29" s="5"/>
      <c r="H29" s="5"/>
      <c r="I29" s="1"/>
    </row>
    <row r="30" spans="1:9" x14ac:dyDescent="0.25">
      <c r="A30" s="1" t="s">
        <v>147</v>
      </c>
      <c r="B30" s="8">
        <v>60</v>
      </c>
      <c r="C30" s="10">
        <f>B30*18.6/100</f>
        <v>11.16</v>
      </c>
      <c r="D30" s="10">
        <f>B30*16/100</f>
        <v>9.6</v>
      </c>
      <c r="E30" s="7">
        <f>B30*0/100</f>
        <v>0</v>
      </c>
      <c r="F30" s="10">
        <f>B30*218/100</f>
        <v>130.80000000000001</v>
      </c>
      <c r="G30" s="5"/>
      <c r="H30" s="5"/>
      <c r="I30" s="1"/>
    </row>
    <row r="31" spans="1:9" x14ac:dyDescent="0.25">
      <c r="A31" s="1" t="s">
        <v>21</v>
      </c>
      <c r="B31" s="8">
        <v>6</v>
      </c>
      <c r="C31" s="10">
        <f>B31*12.7/100</f>
        <v>0.7619999999999999</v>
      </c>
      <c r="D31" s="10">
        <f>B31*11.5/100</f>
        <v>0.69</v>
      </c>
      <c r="E31" s="7">
        <f>B31*0.7/100</f>
        <v>4.1999999999999996E-2</v>
      </c>
      <c r="F31" s="10">
        <f>B31*157/100</f>
        <v>9.42</v>
      </c>
      <c r="G31" s="5"/>
      <c r="H31" s="5"/>
      <c r="I31" s="1"/>
    </row>
    <row r="32" spans="1:9" x14ac:dyDescent="0.25">
      <c r="A32" s="1" t="s">
        <v>20</v>
      </c>
      <c r="B32" s="8">
        <v>26</v>
      </c>
      <c r="C32" s="10">
        <f>B32*1.4/100</f>
        <v>0.36399999999999999</v>
      </c>
      <c r="D32" s="10">
        <f>B32*0/100</f>
        <v>0</v>
      </c>
      <c r="E32" s="7">
        <f>B32*9.1/100</f>
        <v>2.3660000000000001</v>
      </c>
      <c r="F32" s="10">
        <f>B32*41/100</f>
        <v>10.66</v>
      </c>
      <c r="G32" s="5"/>
      <c r="H32" s="5"/>
      <c r="I32" s="1"/>
    </row>
    <row r="33" spans="1:9" x14ac:dyDescent="0.25">
      <c r="A33" s="1" t="s">
        <v>16</v>
      </c>
      <c r="B33" s="8">
        <v>18</v>
      </c>
      <c r="C33" s="10">
        <f>B33*1.3/100</f>
        <v>0.23400000000000001</v>
      </c>
      <c r="D33" s="10">
        <f>B33*0.1/100</f>
        <v>1.8000000000000002E-2</v>
      </c>
      <c r="E33" s="7">
        <f>B33*8.4/100</f>
        <v>1.5120000000000002</v>
      </c>
      <c r="F33" s="10">
        <f>B33*34/100</f>
        <v>6.12</v>
      </c>
      <c r="G33" s="5"/>
      <c r="H33" s="5"/>
      <c r="I33" s="1"/>
    </row>
    <row r="34" spans="1:9" x14ac:dyDescent="0.25">
      <c r="A34" s="1" t="s">
        <v>28</v>
      </c>
      <c r="B34" s="8">
        <v>6</v>
      </c>
      <c r="C34" s="10">
        <f>B34*4.8/100</f>
        <v>0.28799999999999998</v>
      </c>
      <c r="D34" s="10">
        <f>B34*0/100</f>
        <v>0</v>
      </c>
      <c r="E34" s="7">
        <f>B34*19/100</f>
        <v>1.1399999999999999</v>
      </c>
      <c r="F34" s="10">
        <f>B34*99/100</f>
        <v>5.94</v>
      </c>
      <c r="G34" s="5"/>
      <c r="H34" s="5"/>
      <c r="I34" s="1"/>
    </row>
    <row r="35" spans="1:9" x14ac:dyDescent="0.25">
      <c r="A35" s="1" t="s">
        <v>123</v>
      </c>
      <c r="B35" s="8">
        <v>3</v>
      </c>
      <c r="C35" s="10">
        <f>B35*10.3/100</f>
        <v>0.309</v>
      </c>
      <c r="D35" s="10">
        <f>B35*1.1/100</f>
        <v>3.3000000000000002E-2</v>
      </c>
      <c r="E35" s="7">
        <f>B35*69/100</f>
        <v>2.0699999999999998</v>
      </c>
      <c r="F35" s="10">
        <f>B35*334/100</f>
        <v>10.02</v>
      </c>
      <c r="G35" s="5"/>
      <c r="H35" s="5"/>
      <c r="I35" s="1"/>
    </row>
    <row r="36" spans="1:9" x14ac:dyDescent="0.25">
      <c r="A36" s="1" t="s">
        <v>57</v>
      </c>
      <c r="B36" s="8">
        <v>3</v>
      </c>
      <c r="C36" s="10">
        <f>B36*0/100</f>
        <v>0</v>
      </c>
      <c r="D36" s="10">
        <f>B36*99.9/100</f>
        <v>2.9970000000000003</v>
      </c>
      <c r="E36" s="7">
        <f>B36*0/100</f>
        <v>0</v>
      </c>
      <c r="F36" s="10">
        <f>B36*899/100</f>
        <v>26.97</v>
      </c>
      <c r="G36" s="5"/>
      <c r="H36" s="5"/>
      <c r="I36" s="1"/>
    </row>
    <row r="37" spans="1:9" x14ac:dyDescent="0.25">
      <c r="A37" s="1" t="s">
        <v>12</v>
      </c>
      <c r="B37" s="8">
        <v>10</v>
      </c>
      <c r="C37" s="10">
        <f>B37*7.7/100</f>
        <v>0.77</v>
      </c>
      <c r="D37" s="10">
        <f>B37*3/100</f>
        <v>0.3</v>
      </c>
      <c r="E37" s="7">
        <f>B37*49.8/100</f>
        <v>4.9800000000000004</v>
      </c>
      <c r="F37" s="10">
        <f>B37*262/100</f>
        <v>26.2</v>
      </c>
      <c r="G37" s="5"/>
      <c r="H37" s="5"/>
      <c r="I37" s="1"/>
    </row>
    <row r="38" spans="1:9" x14ac:dyDescent="0.25">
      <c r="A38" s="2" t="s">
        <v>14</v>
      </c>
      <c r="B38" s="5"/>
      <c r="C38" s="5">
        <f>C30+C31+C32+C33+C34+C35+C36+C37</f>
        <v>13.887</v>
      </c>
      <c r="D38" s="5">
        <f>D30+D31+D32+D33+D34+D35+D36+D37</f>
        <v>13.638</v>
      </c>
      <c r="E38" s="5">
        <f>E30+E31+E32+E33+E34+E35+E36+E37</f>
        <v>12.11</v>
      </c>
      <c r="F38" s="5">
        <f>F30+F31+F32+F33+F34+F35+F36+F37</f>
        <v>226.13</v>
      </c>
      <c r="G38" s="5" t="s">
        <v>341</v>
      </c>
      <c r="H38" s="5"/>
      <c r="I38" s="1" t="s">
        <v>253</v>
      </c>
    </row>
    <row r="39" spans="1:9" x14ac:dyDescent="0.25">
      <c r="A39" s="2" t="s">
        <v>150</v>
      </c>
      <c r="B39" s="8">
        <v>30</v>
      </c>
      <c r="C39" s="10">
        <f>B39*12.6/100</f>
        <v>3.78</v>
      </c>
      <c r="D39" s="10">
        <f>B39*3.3/100</f>
        <v>0.99</v>
      </c>
      <c r="E39" s="7">
        <f>B39*62.1/100</f>
        <v>18.63</v>
      </c>
      <c r="F39" s="10">
        <f>B39*335/100</f>
        <v>100.5</v>
      </c>
      <c r="G39" s="5">
        <v>90</v>
      </c>
      <c r="H39" s="5"/>
      <c r="I39" s="1"/>
    </row>
    <row r="40" spans="1:9" x14ac:dyDescent="0.25">
      <c r="A40" s="1" t="s">
        <v>151</v>
      </c>
      <c r="B40" s="7">
        <v>2</v>
      </c>
      <c r="C40" s="10">
        <f>B40*0.7/100</f>
        <v>1.3999999999999999E-2</v>
      </c>
      <c r="D40" s="10">
        <f t="shared" si="2"/>
        <v>1.45</v>
      </c>
      <c r="E40" s="7">
        <f>B40*1/100</f>
        <v>0.02</v>
      </c>
      <c r="F40" s="10">
        <f>B40*709/100</f>
        <v>14.18</v>
      </c>
      <c r="G40" s="5"/>
      <c r="H40" s="5"/>
      <c r="I40" s="1"/>
    </row>
    <row r="41" spans="1:9" x14ac:dyDescent="0.25">
      <c r="A41" s="2" t="s">
        <v>14</v>
      </c>
      <c r="B41" s="5"/>
      <c r="C41" s="5">
        <f>C39+C40</f>
        <v>3.7939999999999996</v>
      </c>
      <c r="D41" s="5">
        <f>D39+D40</f>
        <v>2.44</v>
      </c>
      <c r="E41" s="5">
        <f>E39+E40</f>
        <v>18.649999999999999</v>
      </c>
      <c r="F41" s="5">
        <f>F39+F40</f>
        <v>114.68</v>
      </c>
      <c r="G41" s="5"/>
      <c r="H41" s="5"/>
      <c r="I41" s="1" t="s">
        <v>254</v>
      </c>
    </row>
    <row r="42" spans="1:9" x14ac:dyDescent="0.25">
      <c r="A42" s="1" t="s">
        <v>255</v>
      </c>
      <c r="B42" s="5">
        <v>150</v>
      </c>
      <c r="C42" s="5">
        <f>B42*0.5/100</f>
        <v>0.75</v>
      </c>
      <c r="D42" s="5">
        <f>B42*0/100</f>
        <v>0</v>
      </c>
      <c r="E42" s="5">
        <f>B42*9.1/100</f>
        <v>13.65</v>
      </c>
      <c r="F42" s="5">
        <f>B42*38/100</f>
        <v>57</v>
      </c>
      <c r="G42" s="5">
        <v>150</v>
      </c>
      <c r="H42" s="5"/>
      <c r="I42" s="1"/>
    </row>
    <row r="43" spans="1:9" x14ac:dyDescent="0.25">
      <c r="A43" s="2" t="s">
        <v>326</v>
      </c>
      <c r="B43" s="7"/>
      <c r="C43" s="10"/>
      <c r="D43" s="10"/>
      <c r="E43" s="7"/>
      <c r="F43" s="10"/>
      <c r="G43" s="5"/>
      <c r="H43" s="5"/>
      <c r="I43" s="1"/>
    </row>
    <row r="44" spans="1:9" x14ac:dyDescent="0.25">
      <c r="A44" s="1" t="s">
        <v>120</v>
      </c>
      <c r="B44" s="8">
        <v>40</v>
      </c>
      <c r="C44" s="10">
        <f>B44*1.5/100</f>
        <v>0.6</v>
      </c>
      <c r="D44" s="10">
        <f>B44*0.1/100</f>
        <v>0.04</v>
      </c>
      <c r="E44" s="7">
        <f>B44*10/100</f>
        <v>4</v>
      </c>
      <c r="F44" s="10">
        <f>B44*42/100</f>
        <v>16.8</v>
      </c>
      <c r="G44" s="5"/>
      <c r="H44" s="5"/>
      <c r="I44" s="1"/>
    </row>
    <row r="45" spans="1:9" x14ac:dyDescent="0.25">
      <c r="A45" s="1" t="s">
        <v>177</v>
      </c>
      <c r="B45" s="8">
        <v>20</v>
      </c>
      <c r="C45" s="10">
        <f>B45*3.2/100</f>
        <v>0.64</v>
      </c>
      <c r="D45" s="10">
        <f>B45*0.2/100</f>
        <v>0.04</v>
      </c>
      <c r="E45" s="7">
        <f>B45*6.5/100</f>
        <v>1.3</v>
      </c>
      <c r="F45" s="10">
        <f>B45*40/100</f>
        <v>8</v>
      </c>
      <c r="G45" s="5"/>
      <c r="H45" s="5"/>
      <c r="I45" s="1"/>
    </row>
    <row r="46" spans="1:9" x14ac:dyDescent="0.25">
      <c r="A46" s="1" t="s">
        <v>57</v>
      </c>
      <c r="B46" s="7">
        <v>5</v>
      </c>
      <c r="C46" s="10">
        <f t="shared" ref="C46" si="5">B46*3.2/100</f>
        <v>0.16</v>
      </c>
      <c r="D46" s="10">
        <f t="shared" ref="D46" si="6">B46*0.2/100</f>
        <v>0.01</v>
      </c>
      <c r="E46" s="7">
        <f t="shared" ref="E46" si="7">B46*6.5/100</f>
        <v>0.32500000000000001</v>
      </c>
      <c r="F46" s="10">
        <f>B46*899/100</f>
        <v>44.95</v>
      </c>
      <c r="G46" s="5"/>
      <c r="H46" s="5"/>
      <c r="I46" s="1" t="s">
        <v>264</v>
      </c>
    </row>
    <row r="47" spans="1:9" x14ac:dyDescent="0.25">
      <c r="A47" s="2" t="s">
        <v>14</v>
      </c>
      <c r="B47" s="5"/>
      <c r="C47" s="5">
        <f>C44+C45+C46</f>
        <v>1.4</v>
      </c>
      <c r="D47" s="5">
        <f>D44+D45+D46</f>
        <v>0.09</v>
      </c>
      <c r="E47" s="5">
        <f>E44+E45+E46</f>
        <v>5.625</v>
      </c>
      <c r="F47" s="5">
        <f>F44+F45+F46</f>
        <v>69.75</v>
      </c>
      <c r="G47" s="5">
        <v>65</v>
      </c>
      <c r="H47" s="5"/>
      <c r="I47" s="1"/>
    </row>
    <row r="48" spans="1:9" x14ac:dyDescent="0.25">
      <c r="A48" s="1" t="s">
        <v>32</v>
      </c>
      <c r="B48" s="5">
        <v>37</v>
      </c>
      <c r="C48" s="5">
        <f>B48*7.7/100</f>
        <v>2.8490000000000002</v>
      </c>
      <c r="D48" s="5">
        <f>B48*3/100</f>
        <v>1.1100000000000001</v>
      </c>
      <c r="E48" s="5">
        <f>B48*49.8/100</f>
        <v>18.425999999999998</v>
      </c>
      <c r="F48" s="5">
        <f>B48*262/100</f>
        <v>96.94</v>
      </c>
      <c r="G48" s="5">
        <v>37</v>
      </c>
      <c r="H48" s="5"/>
      <c r="I48" s="1"/>
    </row>
    <row r="49" spans="1:9" x14ac:dyDescent="0.25">
      <c r="A49" s="2" t="s">
        <v>76</v>
      </c>
      <c r="B49" s="5"/>
      <c r="C49" s="5">
        <f>C28+C38+C41+C42+C48</f>
        <v>28.775000000000002</v>
      </c>
      <c r="D49" s="5">
        <f>D28+D38+D41+D47+D48</f>
        <v>23.776</v>
      </c>
      <c r="E49" s="5">
        <f>E28+E38+E41+E42+E47+E48</f>
        <v>79.595999999999989</v>
      </c>
      <c r="F49" s="5">
        <f>F28+F38+F41+F42+F47+F48</f>
        <v>696.78</v>
      </c>
      <c r="G49" s="5">
        <v>642</v>
      </c>
      <c r="H49" s="5"/>
      <c r="I49" s="1"/>
    </row>
    <row r="50" spans="1:9" x14ac:dyDescent="0.25">
      <c r="A50" s="1" t="s">
        <v>196</v>
      </c>
      <c r="B50" s="7">
        <v>3.75</v>
      </c>
      <c r="C50" s="10"/>
      <c r="D50" s="10"/>
      <c r="E50" s="7"/>
      <c r="F50" s="10"/>
      <c r="G50" s="5"/>
      <c r="H50" s="5"/>
      <c r="I50" s="1"/>
    </row>
    <row r="51" spans="1:9" x14ac:dyDescent="0.25">
      <c r="A51" s="2" t="s">
        <v>277</v>
      </c>
      <c r="B51" s="7"/>
      <c r="C51" s="10"/>
      <c r="D51" s="10"/>
      <c r="E51" s="7"/>
      <c r="F51" s="10"/>
      <c r="G51" s="5"/>
      <c r="H51" s="5"/>
      <c r="I51" s="1"/>
    </row>
    <row r="52" spans="1:9" x14ac:dyDescent="0.25">
      <c r="A52" s="2" t="s">
        <v>313</v>
      </c>
      <c r="B52" s="7"/>
      <c r="C52" s="10"/>
      <c r="D52" s="10"/>
      <c r="E52" s="7"/>
      <c r="F52" s="10"/>
      <c r="G52" s="5"/>
      <c r="H52" s="5"/>
      <c r="I52" s="1"/>
    </row>
    <row r="53" spans="1:9" x14ac:dyDescent="0.25">
      <c r="A53" s="1" t="s">
        <v>11</v>
      </c>
      <c r="B53" s="7">
        <v>0.6</v>
      </c>
      <c r="C53" s="7">
        <f>B53*0/100</f>
        <v>0</v>
      </c>
      <c r="D53" s="7">
        <f>B53*0/100</f>
        <v>0</v>
      </c>
      <c r="E53" s="7">
        <f>B53*0/100</f>
        <v>0</v>
      </c>
      <c r="F53" s="7">
        <f>B53*0/100</f>
        <v>0</v>
      </c>
      <c r="G53" s="5"/>
      <c r="H53" s="5"/>
      <c r="I53" s="1"/>
    </row>
    <row r="54" spans="1:9" x14ac:dyDescent="0.25">
      <c r="A54" s="1" t="s">
        <v>9</v>
      </c>
      <c r="B54" s="8">
        <v>6</v>
      </c>
      <c r="C54" s="7">
        <f>B54*0/100</f>
        <v>0</v>
      </c>
      <c r="D54" s="7">
        <f>B54*0/100</f>
        <v>0</v>
      </c>
      <c r="E54" s="7">
        <f>B54*99.8/100</f>
        <v>5.9879999999999995</v>
      </c>
      <c r="F54" s="7">
        <f>B54*379/100</f>
        <v>22.74</v>
      </c>
      <c r="G54" s="5">
        <v>180</v>
      </c>
      <c r="H54" s="5"/>
      <c r="I54" s="1" t="s">
        <v>199</v>
      </c>
    </row>
    <row r="55" spans="1:9" x14ac:dyDescent="0.25">
      <c r="A55" s="2" t="s">
        <v>14</v>
      </c>
      <c r="B55" s="5"/>
      <c r="C55" s="5">
        <v>0</v>
      </c>
      <c r="D55" s="5">
        <v>0</v>
      </c>
      <c r="E55" s="5">
        <f>E54</f>
        <v>5.9879999999999995</v>
      </c>
      <c r="F55" s="5">
        <f>F54</f>
        <v>22.74</v>
      </c>
      <c r="G55" s="5"/>
      <c r="H55" s="5"/>
      <c r="I55" s="1"/>
    </row>
    <row r="56" spans="1:9" ht="19.5" customHeight="1" x14ac:dyDescent="0.25">
      <c r="A56" s="2" t="s">
        <v>314</v>
      </c>
      <c r="B56" s="7"/>
      <c r="C56" s="10"/>
      <c r="D56" s="10"/>
      <c r="E56" s="7"/>
      <c r="F56" s="10"/>
      <c r="G56" s="5"/>
      <c r="H56" s="5"/>
      <c r="I56" s="1"/>
    </row>
    <row r="57" spans="1:9" x14ac:dyDescent="0.25">
      <c r="A57" s="3" t="s">
        <v>48</v>
      </c>
      <c r="B57" s="8">
        <v>40</v>
      </c>
      <c r="C57" s="7">
        <f>B57*10.3/100</f>
        <v>4.12</v>
      </c>
      <c r="D57" s="7">
        <f>B57*1.1/100</f>
        <v>0.44</v>
      </c>
      <c r="E57" s="7">
        <f>B57*69/100</f>
        <v>27.6</v>
      </c>
      <c r="F57" s="7">
        <f>B57*334/100</f>
        <v>133.6</v>
      </c>
      <c r="G57" s="5"/>
      <c r="H57" s="5"/>
      <c r="I57" s="1"/>
    </row>
    <row r="58" spans="1:9" x14ac:dyDescent="0.25">
      <c r="A58" s="3" t="s">
        <v>7</v>
      </c>
      <c r="B58" s="7">
        <v>35</v>
      </c>
      <c r="C58" s="7">
        <f>B58*2.8/100</f>
        <v>0.98</v>
      </c>
      <c r="D58" s="7">
        <f>B58*3.5/100</f>
        <v>1.2250000000000001</v>
      </c>
      <c r="E58" s="7">
        <f>B58*4.7/100</f>
        <v>1.645</v>
      </c>
      <c r="F58" s="7">
        <f>B58*61/100</f>
        <v>21.35</v>
      </c>
      <c r="G58" s="7"/>
      <c r="H58" s="7"/>
      <c r="I58" s="1"/>
    </row>
    <row r="59" spans="1:9" x14ac:dyDescent="0.25">
      <c r="A59" s="3" t="s">
        <v>8</v>
      </c>
      <c r="B59" s="8">
        <v>2</v>
      </c>
      <c r="C59" s="7">
        <f>B59*0.7/100</f>
        <v>1.3999999999999999E-2</v>
      </c>
      <c r="D59" s="7">
        <f>B59*372.5/100</f>
        <v>7.45</v>
      </c>
      <c r="E59" s="7">
        <f>B59*1/100</f>
        <v>0.02</v>
      </c>
      <c r="F59" s="7">
        <f>B59*709/100</f>
        <v>14.18</v>
      </c>
      <c r="G59" s="7"/>
      <c r="H59" s="7"/>
      <c r="I59" s="1"/>
    </row>
    <row r="60" spans="1:9" x14ac:dyDescent="0.25">
      <c r="A60" s="3" t="s">
        <v>57</v>
      </c>
      <c r="B60" s="7">
        <v>3</v>
      </c>
      <c r="C60" s="7">
        <f>B60*0/100</f>
        <v>0</v>
      </c>
      <c r="D60" s="7">
        <f>B60*99.9/100</f>
        <v>2.9970000000000003</v>
      </c>
      <c r="E60" s="7">
        <f>B60*0/100</f>
        <v>0</v>
      </c>
      <c r="F60" s="7">
        <f>B60*899/100</f>
        <v>26.97</v>
      </c>
      <c r="G60" s="7"/>
      <c r="H60" s="7"/>
      <c r="I60" s="1"/>
    </row>
    <row r="61" spans="1:9" x14ac:dyDescent="0.25">
      <c r="A61" s="3" t="s">
        <v>9</v>
      </c>
      <c r="B61" s="8">
        <v>8</v>
      </c>
      <c r="C61" s="7">
        <f>B61*0/100</f>
        <v>0</v>
      </c>
      <c r="D61" s="7">
        <f>B61*0/100</f>
        <v>0</v>
      </c>
      <c r="E61" s="7">
        <f>B61*99.8/100</f>
        <v>7.984</v>
      </c>
      <c r="F61" s="7">
        <f>B61*379/100</f>
        <v>30.32</v>
      </c>
      <c r="G61" s="7"/>
      <c r="H61" s="7"/>
      <c r="I61" s="1"/>
    </row>
    <row r="62" spans="1:9" x14ac:dyDescent="0.25">
      <c r="A62" s="3" t="s">
        <v>280</v>
      </c>
      <c r="B62" s="10">
        <v>1.3</v>
      </c>
      <c r="C62" s="10">
        <v>0</v>
      </c>
      <c r="D62" s="10">
        <v>0</v>
      </c>
      <c r="E62" s="10">
        <v>0</v>
      </c>
      <c r="F62" s="10">
        <v>0</v>
      </c>
      <c r="G62" s="5"/>
      <c r="H62" s="5"/>
      <c r="I62" s="1"/>
    </row>
    <row r="63" spans="1:9" x14ac:dyDescent="0.25">
      <c r="A63" s="3" t="s">
        <v>21</v>
      </c>
      <c r="B63" s="8">
        <v>19</v>
      </c>
      <c r="C63" s="7">
        <f>B63*12.7/40</f>
        <v>6.0324999999999998</v>
      </c>
      <c r="D63" s="7">
        <f>B63*11.5/40</f>
        <v>5.4625000000000004</v>
      </c>
      <c r="E63" s="7">
        <f>B63*0.7/40</f>
        <v>0.33249999999999996</v>
      </c>
      <c r="F63" s="7">
        <f>B63*157/40</f>
        <v>74.575000000000003</v>
      </c>
      <c r="G63" s="7"/>
      <c r="H63" s="7"/>
      <c r="I63" s="1"/>
    </row>
    <row r="64" spans="1:9" x14ac:dyDescent="0.25">
      <c r="A64" s="3" t="s">
        <v>315</v>
      </c>
      <c r="B64" s="8">
        <v>25</v>
      </c>
      <c r="C64" s="7">
        <f>B64*1.8/100</f>
        <v>0.45</v>
      </c>
      <c r="D64" s="7">
        <f>B64*0.1/100</f>
        <v>2.5000000000000001E-2</v>
      </c>
      <c r="E64" s="7">
        <f>B64*4.7/100</f>
        <v>1.175</v>
      </c>
      <c r="F64" s="7">
        <f>B64*27/100</f>
        <v>6.75</v>
      </c>
      <c r="G64" s="7"/>
      <c r="H64" s="7"/>
      <c r="I64" s="1"/>
    </row>
    <row r="65" spans="1:9" x14ac:dyDescent="0.25">
      <c r="A65" s="2" t="s">
        <v>14</v>
      </c>
      <c r="B65" s="5"/>
      <c r="C65" s="5">
        <f>C57+C58+C59+C60+C61+C62+C63+C64</f>
        <v>11.596499999999999</v>
      </c>
      <c r="D65" s="5">
        <f>D57+D58+D59+D60+D61+D62+D63+D64</f>
        <v>17.599499999999999</v>
      </c>
      <c r="E65" s="5">
        <f>E57+E58+E59+E60+E61+E62+E63+E64</f>
        <v>38.756500000000003</v>
      </c>
      <c r="F65" s="5">
        <f>F57+F58+F59+F60+F61+F62+F63+F64</f>
        <v>307.745</v>
      </c>
      <c r="G65" s="5">
        <v>100</v>
      </c>
      <c r="H65" s="5"/>
      <c r="I65" s="1"/>
    </row>
    <row r="66" spans="1:9" x14ac:dyDescent="0.25">
      <c r="A66" s="2" t="s">
        <v>283</v>
      </c>
      <c r="B66" s="5"/>
      <c r="C66" s="5">
        <f>C65</f>
        <v>11.596499999999999</v>
      </c>
      <c r="D66" s="5">
        <f>D65</f>
        <v>17.599499999999999</v>
      </c>
      <c r="E66" s="5">
        <f>E55+E65</f>
        <v>44.744500000000002</v>
      </c>
      <c r="F66" s="5">
        <f>F55+F65</f>
        <v>330.48500000000001</v>
      </c>
      <c r="G66" s="5">
        <v>280</v>
      </c>
      <c r="H66" s="5"/>
      <c r="I66" s="1" t="s">
        <v>316</v>
      </c>
    </row>
    <row r="67" spans="1:9" x14ac:dyDescent="0.25">
      <c r="A67" s="2" t="s">
        <v>281</v>
      </c>
      <c r="B67" s="7"/>
      <c r="C67" s="10">
        <f>C16+C18+C49+C66</f>
        <v>59.459499999999998</v>
      </c>
      <c r="D67" s="10">
        <f>D16+D18+D49+D66</f>
        <v>63.277999999999999</v>
      </c>
      <c r="E67" s="7">
        <f>E16+E18+E49+E66</f>
        <v>205.73199999999997</v>
      </c>
      <c r="F67" s="10">
        <f>F16+F18+F49+F66</f>
        <v>1634.85</v>
      </c>
      <c r="G67" s="5"/>
      <c r="H67" s="5"/>
      <c r="I67" s="1"/>
    </row>
    <row r="68" spans="1:9" x14ac:dyDescent="0.25">
      <c r="A68" s="1"/>
      <c r="B68" s="7"/>
      <c r="C68" s="10"/>
      <c r="D68" s="10"/>
      <c r="E68" s="7"/>
      <c r="F68" s="10"/>
      <c r="G68" s="5"/>
      <c r="H68" s="5"/>
      <c r="I68" s="1"/>
    </row>
    <row r="69" spans="1:9" x14ac:dyDescent="0.25">
      <c r="A69" s="1" t="s">
        <v>321</v>
      </c>
      <c r="B69" s="7"/>
      <c r="C69" s="10"/>
      <c r="D69" s="10"/>
      <c r="E69" s="7"/>
      <c r="F69" s="10"/>
      <c r="G69" s="5"/>
      <c r="H69" s="5"/>
      <c r="I69" s="1"/>
    </row>
    <row r="70" spans="1:9" x14ac:dyDescent="0.25">
      <c r="A70" s="1"/>
      <c r="B70" s="7"/>
      <c r="C70" s="10"/>
      <c r="D70" s="10"/>
      <c r="E70" s="7"/>
      <c r="F70" s="10"/>
      <c r="G70" s="5"/>
      <c r="H70" s="5"/>
      <c r="I70" s="1"/>
    </row>
  </sheetData>
  <pageMargins left="0.7" right="0.7" top="0.75" bottom="0.75" header="0.3" footer="0.3"/>
  <pageSetup paperSize="9" scale="7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День 1</vt:lpstr>
      <vt:lpstr>День 8</vt:lpstr>
      <vt:lpstr>День 2</vt:lpstr>
      <vt:lpstr>День 5</vt:lpstr>
      <vt:lpstr>День 4</vt:lpstr>
      <vt:lpstr>День 6</vt:lpstr>
      <vt:lpstr>День 7</vt:lpstr>
      <vt:lpstr>День 9</vt:lpstr>
      <vt:lpstr>День 3</vt:lpstr>
      <vt:lpstr>День 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Сказка</dc:creator>
  <cp:lastModifiedBy>Пользователь</cp:lastModifiedBy>
  <cp:lastPrinted>2022-01-23T16:17:39Z</cp:lastPrinted>
  <dcterms:created xsi:type="dcterms:W3CDTF">2021-02-16T06:31:48Z</dcterms:created>
  <dcterms:modified xsi:type="dcterms:W3CDTF">2022-01-23T16:18:30Z</dcterms:modified>
</cp:coreProperties>
</file>