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 activeTab="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45621"/>
</workbook>
</file>

<file path=xl/calcChain.xml><?xml version="1.0" encoding="utf-8"?>
<calcChain xmlns="http://schemas.openxmlformats.org/spreadsheetml/2006/main">
  <c r="F8" i="11"/>
  <c r="E8"/>
  <c r="D8"/>
  <c r="C8"/>
  <c r="F7"/>
  <c r="E7"/>
  <c r="D7"/>
  <c r="C7"/>
  <c r="F6"/>
  <c r="E6"/>
  <c r="D6"/>
  <c r="C6"/>
  <c r="F5"/>
  <c r="E5"/>
  <c r="D5"/>
  <c r="C5"/>
  <c r="F4"/>
  <c r="E4"/>
  <c r="E9" s="1"/>
  <c r="D4"/>
  <c r="D9" s="1"/>
  <c r="C4"/>
  <c r="F71" i="10"/>
  <c r="E71"/>
  <c r="D71"/>
  <c r="C71"/>
  <c r="F70"/>
  <c r="E70"/>
  <c r="D70"/>
  <c r="C70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52" i="8"/>
  <c r="E52"/>
  <c r="D52"/>
  <c r="C52"/>
  <c r="F38"/>
  <c r="E38"/>
  <c r="D38"/>
  <c r="C38"/>
  <c r="F37"/>
  <c r="E37"/>
  <c r="D37"/>
  <c r="C37"/>
  <c r="F44" i="6"/>
  <c r="E44"/>
  <c r="D44"/>
  <c r="C44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F37" s="1"/>
  <c r="E30"/>
  <c r="E37" s="1"/>
  <c r="D30"/>
  <c r="C30"/>
  <c r="C37" s="1"/>
  <c r="F9" i="11" l="1"/>
  <c r="C9"/>
  <c r="D37" i="6"/>
  <c r="F66" i="3" l="1"/>
  <c r="E66"/>
  <c r="D66"/>
  <c r="C66"/>
  <c r="F72" i="10" l="1"/>
  <c r="E72"/>
  <c r="D72"/>
  <c r="C72"/>
  <c r="F65" i="3"/>
  <c r="E65"/>
  <c r="D65"/>
  <c r="C65"/>
  <c r="F64"/>
  <c r="E64"/>
  <c r="D64"/>
  <c r="C64"/>
  <c r="F63"/>
  <c r="E63"/>
  <c r="D63"/>
  <c r="C63"/>
  <c r="F62"/>
  <c r="E62"/>
  <c r="D62"/>
  <c r="C62"/>
  <c r="F61"/>
  <c r="E61"/>
  <c r="E67" s="1"/>
  <c r="D61"/>
  <c r="D67" s="1"/>
  <c r="C61"/>
  <c r="C67" s="1"/>
  <c r="F67" l="1"/>
  <c r="C69" i="4"/>
  <c r="F49" i="10" l="1"/>
  <c r="E49"/>
  <c r="D49"/>
  <c r="C49"/>
  <c r="F49" i="9"/>
  <c r="E49"/>
  <c r="D49"/>
  <c r="C49"/>
  <c r="F47"/>
  <c r="E47"/>
  <c r="D47"/>
  <c r="C47"/>
  <c r="F46"/>
  <c r="E46"/>
  <c r="D46"/>
  <c r="C46"/>
  <c r="F45"/>
  <c r="E45"/>
  <c r="D45"/>
  <c r="C45"/>
  <c r="F44"/>
  <c r="F48" s="1"/>
  <c r="E44"/>
  <c r="E48" s="1"/>
  <c r="D44"/>
  <c r="D48" s="1"/>
  <c r="C44"/>
  <c r="C48" s="1"/>
  <c r="F47" i="11" l="1"/>
  <c r="E47"/>
  <c r="D47"/>
  <c r="C47"/>
  <c r="F52"/>
  <c r="E52"/>
  <c r="D52"/>
  <c r="C52"/>
  <c r="F51"/>
  <c r="E51"/>
  <c r="D51"/>
  <c r="F50"/>
  <c r="E50"/>
  <c r="D50"/>
  <c r="C50"/>
  <c r="F49"/>
  <c r="F53" s="1"/>
  <c r="E49"/>
  <c r="E53" s="1"/>
  <c r="D49"/>
  <c r="D53" s="1"/>
  <c r="C49"/>
  <c r="C53" s="1"/>
  <c r="F52" i="10" l="1"/>
  <c r="E52"/>
  <c r="D52"/>
  <c r="C52"/>
  <c r="F50"/>
  <c r="E50"/>
  <c r="D50"/>
  <c r="C50"/>
  <c r="F51"/>
  <c r="E51"/>
  <c r="D51"/>
  <c r="C51"/>
  <c r="F49" i="8"/>
  <c r="E49"/>
  <c r="D49"/>
  <c r="C49"/>
  <c r="F47"/>
  <c r="F50" s="1"/>
  <c r="E47"/>
  <c r="D47"/>
  <c r="C47"/>
  <c r="F48"/>
  <c r="E48"/>
  <c r="D48"/>
  <c r="C48"/>
  <c r="D50" l="1"/>
  <c r="C50"/>
  <c r="E50"/>
  <c r="D53" i="10"/>
  <c r="F53"/>
  <c r="C53"/>
  <c r="E53"/>
  <c r="F50" i="7"/>
  <c r="E50"/>
  <c r="D50"/>
  <c r="C50"/>
  <c r="F49"/>
  <c r="E49"/>
  <c r="D49"/>
  <c r="C49"/>
  <c r="F48"/>
  <c r="E48"/>
  <c r="D48"/>
  <c r="C48"/>
  <c r="F47"/>
  <c r="E47"/>
  <c r="D47"/>
  <c r="C47"/>
  <c r="F46" i="5"/>
  <c r="E46"/>
  <c r="D46"/>
  <c r="C46"/>
  <c r="F54" i="6" l="1"/>
  <c r="D28" i="3" l="1"/>
  <c r="F58" i="11" l="1"/>
  <c r="E58"/>
  <c r="D58"/>
  <c r="D59" s="1"/>
  <c r="C58"/>
  <c r="F57"/>
  <c r="F59" s="1"/>
  <c r="E57"/>
  <c r="D57"/>
  <c r="C57"/>
  <c r="C59" s="1"/>
  <c r="E59" l="1"/>
  <c r="F64" i="8"/>
  <c r="E63"/>
  <c r="D63"/>
  <c r="C63"/>
  <c r="F61" i="10"/>
  <c r="E61"/>
  <c r="D61"/>
  <c r="C61"/>
  <c r="F60"/>
  <c r="E60"/>
  <c r="D60"/>
  <c r="C60"/>
  <c r="F59"/>
  <c r="E59"/>
  <c r="E62" s="1"/>
  <c r="E73" s="1"/>
  <c r="D59"/>
  <c r="D62" s="1"/>
  <c r="D73" s="1"/>
  <c r="C59"/>
  <c r="F62" l="1"/>
  <c r="F73" s="1"/>
  <c r="C62"/>
  <c r="C73" s="1"/>
  <c r="F65" i="9"/>
  <c r="E65"/>
  <c r="D65"/>
  <c r="C65"/>
  <c r="F64"/>
  <c r="E64"/>
  <c r="D64"/>
  <c r="C64"/>
  <c r="F62"/>
  <c r="E62"/>
  <c r="D62"/>
  <c r="C62"/>
  <c r="F61"/>
  <c r="E61"/>
  <c r="D61"/>
  <c r="C61"/>
  <c r="F60"/>
  <c r="E60"/>
  <c r="D60"/>
  <c r="C60"/>
  <c r="F59"/>
  <c r="E59"/>
  <c r="D59"/>
  <c r="C59"/>
  <c r="F58"/>
  <c r="F66" s="1"/>
  <c r="E58"/>
  <c r="E66" s="1"/>
  <c r="D58"/>
  <c r="D66" s="1"/>
  <c r="D67" s="1"/>
  <c r="C58"/>
  <c r="C66" s="1"/>
  <c r="C67" s="1"/>
  <c r="F55"/>
  <c r="F56" s="1"/>
  <c r="E55"/>
  <c r="E56" s="1"/>
  <c r="E67" s="1"/>
  <c r="D55"/>
  <c r="C55"/>
  <c r="F54"/>
  <c r="E54"/>
  <c r="D54"/>
  <c r="C54"/>
  <c r="F15"/>
  <c r="E15"/>
  <c r="D15"/>
  <c r="C15"/>
  <c r="F14"/>
  <c r="E14"/>
  <c r="D14"/>
  <c r="C14"/>
  <c r="F13"/>
  <c r="E13"/>
  <c r="D13"/>
  <c r="C13"/>
  <c r="F11"/>
  <c r="E11"/>
  <c r="D11"/>
  <c r="C11"/>
  <c r="F10"/>
  <c r="E10"/>
  <c r="D10"/>
  <c r="C10"/>
  <c r="F9"/>
  <c r="F12" s="1"/>
  <c r="E9"/>
  <c r="D9"/>
  <c r="D12" s="1"/>
  <c r="C9"/>
  <c r="C12" s="1"/>
  <c r="F6"/>
  <c r="E6"/>
  <c r="D6"/>
  <c r="C6"/>
  <c r="F5"/>
  <c r="E5"/>
  <c r="D5"/>
  <c r="C5"/>
  <c r="F4"/>
  <c r="E4"/>
  <c r="D4"/>
  <c r="C4"/>
  <c r="F3"/>
  <c r="E3"/>
  <c r="E7" s="1"/>
  <c r="D3"/>
  <c r="D7" s="1"/>
  <c r="D16" s="1"/>
  <c r="C3"/>
  <c r="C7" s="1"/>
  <c r="F44" i="7"/>
  <c r="E44"/>
  <c r="D44"/>
  <c r="C44"/>
  <c r="F43"/>
  <c r="E43"/>
  <c r="D43"/>
  <c r="C43"/>
  <c r="F42"/>
  <c r="E42"/>
  <c r="D42"/>
  <c r="C42"/>
  <c r="F41"/>
  <c r="E41"/>
  <c r="D41"/>
  <c r="C41"/>
  <c r="F40"/>
  <c r="F45" s="1"/>
  <c r="E40"/>
  <c r="E45" s="1"/>
  <c r="D40"/>
  <c r="D45" s="1"/>
  <c r="C40"/>
  <c r="C45" s="1"/>
  <c r="F33"/>
  <c r="F38" s="1"/>
  <c r="D33"/>
  <c r="C33"/>
  <c r="F37"/>
  <c r="E37"/>
  <c r="D37"/>
  <c r="C37"/>
  <c r="F36"/>
  <c r="E36"/>
  <c r="D36"/>
  <c r="C36"/>
  <c r="F35"/>
  <c r="E35"/>
  <c r="D35"/>
  <c r="C35"/>
  <c r="F34"/>
  <c r="E34"/>
  <c r="E38" s="1"/>
  <c r="D34"/>
  <c r="C34"/>
  <c r="F69" i="8"/>
  <c r="E69"/>
  <c r="D69"/>
  <c r="C69"/>
  <c r="F68"/>
  <c r="E68"/>
  <c r="D68"/>
  <c r="C68"/>
  <c r="F67"/>
  <c r="F70" s="1"/>
  <c r="E67"/>
  <c r="E70" s="1"/>
  <c r="D67"/>
  <c r="D70" s="1"/>
  <c r="C67"/>
  <c r="C70" s="1"/>
  <c r="F6"/>
  <c r="E6"/>
  <c r="D6"/>
  <c r="C6"/>
  <c r="F5"/>
  <c r="E5"/>
  <c r="D5"/>
  <c r="C5"/>
  <c r="F4"/>
  <c r="E4"/>
  <c r="D4"/>
  <c r="C4"/>
  <c r="F3"/>
  <c r="F7" s="1"/>
  <c r="E3"/>
  <c r="E7" s="1"/>
  <c r="D3"/>
  <c r="C3"/>
  <c r="F32"/>
  <c r="E32"/>
  <c r="D32"/>
  <c r="C32"/>
  <c r="F67" i="9" l="1"/>
  <c r="C7" i="8"/>
  <c r="F7" i="9"/>
  <c r="F16" s="1"/>
  <c r="E12"/>
  <c r="E16" s="1"/>
  <c r="C16"/>
  <c r="C38" i="7"/>
  <c r="D38"/>
  <c r="D7" i="8"/>
  <c r="E64"/>
  <c r="D64"/>
  <c r="C64"/>
  <c r="F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F65" s="1"/>
  <c r="F71" s="1"/>
  <c r="E56"/>
  <c r="D56"/>
  <c r="C56"/>
  <c r="C65" s="1"/>
  <c r="C71" s="1"/>
  <c r="F40"/>
  <c r="E40"/>
  <c r="D40"/>
  <c r="C40"/>
  <c r="F39"/>
  <c r="E39"/>
  <c r="D39"/>
  <c r="C39"/>
  <c r="F36"/>
  <c r="E36"/>
  <c r="D36"/>
  <c r="C36"/>
  <c r="F35"/>
  <c r="E35"/>
  <c r="D35"/>
  <c r="C35"/>
  <c r="F34"/>
  <c r="E34"/>
  <c r="D34"/>
  <c r="C34"/>
  <c r="F33"/>
  <c r="E33"/>
  <c r="E41" s="1"/>
  <c r="D33"/>
  <c r="D41" s="1"/>
  <c r="C33"/>
  <c r="C43"/>
  <c r="D43"/>
  <c r="E43"/>
  <c r="F43"/>
  <c r="C44"/>
  <c r="D44"/>
  <c r="E44"/>
  <c r="F44"/>
  <c r="D45"/>
  <c r="F45"/>
  <c r="C41" l="1"/>
  <c r="F41"/>
  <c r="E45"/>
  <c r="C45"/>
  <c r="D65"/>
  <c r="D71" s="1"/>
  <c r="E65"/>
  <c r="E71" s="1"/>
  <c r="F16" i="7"/>
  <c r="E16"/>
  <c r="D16"/>
  <c r="C16"/>
  <c r="F61"/>
  <c r="E61"/>
  <c r="D61"/>
  <c r="C61"/>
  <c r="F59"/>
  <c r="F62" s="1"/>
  <c r="E59"/>
  <c r="E62" s="1"/>
  <c r="D59"/>
  <c r="D62" s="1"/>
  <c r="C59"/>
  <c r="C62" s="1"/>
  <c r="F6" i="6"/>
  <c r="E6"/>
  <c r="D6"/>
  <c r="C6"/>
  <c r="F5"/>
  <c r="E5"/>
  <c r="D5"/>
  <c r="C5"/>
  <c r="F4"/>
  <c r="E4"/>
  <c r="D4"/>
  <c r="C4"/>
  <c r="F3"/>
  <c r="E3"/>
  <c r="D3"/>
  <c r="D7" s="1"/>
  <c r="C3"/>
  <c r="C7" s="1"/>
  <c r="F58"/>
  <c r="E58"/>
  <c r="D58"/>
  <c r="C58"/>
  <c r="F56"/>
  <c r="E56"/>
  <c r="D56"/>
  <c r="C56"/>
  <c r="F55"/>
  <c r="E55"/>
  <c r="D55"/>
  <c r="C55"/>
  <c r="F57"/>
  <c r="E54"/>
  <c r="D54"/>
  <c r="D57" s="1"/>
  <c r="C54"/>
  <c r="C57" s="1"/>
  <c r="F51"/>
  <c r="E51"/>
  <c r="D51"/>
  <c r="C51"/>
  <c r="F50"/>
  <c r="F52" s="1"/>
  <c r="E50"/>
  <c r="E52" s="1"/>
  <c r="D50"/>
  <c r="C50"/>
  <c r="F49"/>
  <c r="E49"/>
  <c r="D49"/>
  <c r="D52" s="1"/>
  <c r="C49"/>
  <c r="C52" s="1"/>
  <c r="F56" i="4"/>
  <c r="F42" i="5"/>
  <c r="F43" s="1"/>
  <c r="E42"/>
  <c r="E43" s="1"/>
  <c r="D42"/>
  <c r="D43" s="1"/>
  <c r="C42"/>
  <c r="C43" s="1"/>
  <c r="F23"/>
  <c r="E23"/>
  <c r="F63"/>
  <c r="E63"/>
  <c r="D63"/>
  <c r="C63"/>
  <c r="F62"/>
  <c r="E62"/>
  <c r="D62"/>
  <c r="C62"/>
  <c r="F60"/>
  <c r="E60"/>
  <c r="D60"/>
  <c r="C60"/>
  <c r="F59"/>
  <c r="E59"/>
  <c r="D59"/>
  <c r="C59"/>
  <c r="F58"/>
  <c r="E58"/>
  <c r="D58"/>
  <c r="C58"/>
  <c r="F57"/>
  <c r="E57"/>
  <c r="D57"/>
  <c r="C57"/>
  <c r="F56"/>
  <c r="F64" s="1"/>
  <c r="E56"/>
  <c r="D56"/>
  <c r="D64" s="1"/>
  <c r="C56"/>
  <c r="F53"/>
  <c r="E53"/>
  <c r="D53"/>
  <c r="C53"/>
  <c r="F52"/>
  <c r="E52"/>
  <c r="D52"/>
  <c r="C52"/>
  <c r="F51"/>
  <c r="E51"/>
  <c r="E54" s="1"/>
  <c r="D51"/>
  <c r="D54" s="1"/>
  <c r="C51"/>
  <c r="F50"/>
  <c r="E50"/>
  <c r="D50"/>
  <c r="C50"/>
  <c r="C54" s="1"/>
  <c r="F25" i="4"/>
  <c r="F14"/>
  <c r="E14"/>
  <c r="D14"/>
  <c r="C14"/>
  <c r="C13"/>
  <c r="D13"/>
  <c r="E13"/>
  <c r="F13"/>
  <c r="F55"/>
  <c r="E55"/>
  <c r="E56" s="1"/>
  <c r="D55"/>
  <c r="C55"/>
  <c r="F54"/>
  <c r="E54"/>
  <c r="D54"/>
  <c r="C54"/>
  <c r="F6"/>
  <c r="E6"/>
  <c r="D6"/>
  <c r="C6"/>
  <c r="F5"/>
  <c r="E5"/>
  <c r="D5"/>
  <c r="C5"/>
  <c r="F4"/>
  <c r="E4"/>
  <c r="D4"/>
  <c r="C4"/>
  <c r="F3"/>
  <c r="F7" s="1"/>
  <c r="E3"/>
  <c r="E7" s="1"/>
  <c r="D3"/>
  <c r="D7" s="1"/>
  <c r="C3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F67" s="1"/>
  <c r="E58"/>
  <c r="E67" s="1"/>
  <c r="D58"/>
  <c r="D68" s="1"/>
  <c r="C58"/>
  <c r="C67" s="1"/>
  <c r="F46" i="3"/>
  <c r="F47" s="1"/>
  <c r="E46"/>
  <c r="E47" s="1"/>
  <c r="D46"/>
  <c r="D47" s="1"/>
  <c r="C46"/>
  <c r="C47" s="1"/>
  <c r="E7" i="6" l="1"/>
  <c r="D65" i="5"/>
  <c r="E57" i="6"/>
  <c r="E59" s="1"/>
  <c r="F7"/>
  <c r="C7" i="4"/>
  <c r="F54" i="5"/>
  <c r="F65" s="1"/>
  <c r="C59" i="6"/>
  <c r="D59"/>
  <c r="F59"/>
  <c r="C64" i="5"/>
  <c r="C65" s="1"/>
  <c r="E64"/>
  <c r="E65" s="1"/>
  <c r="F58" i="3"/>
  <c r="E58"/>
  <c r="D58"/>
  <c r="C58"/>
  <c r="F57"/>
  <c r="F59" s="1"/>
  <c r="F68" s="1"/>
  <c r="E57"/>
  <c r="E59" s="1"/>
  <c r="E68" s="1"/>
  <c r="D57"/>
  <c r="C57"/>
  <c r="F56"/>
  <c r="E56"/>
  <c r="D56"/>
  <c r="D59" s="1"/>
  <c r="D68" s="1"/>
  <c r="C56"/>
  <c r="C59" s="1"/>
  <c r="C68" s="1"/>
  <c r="F69" i="2"/>
  <c r="E69"/>
  <c r="D69"/>
  <c r="C69"/>
  <c r="F67"/>
  <c r="E67"/>
  <c r="D67"/>
  <c r="C67"/>
  <c r="F66"/>
  <c r="E66"/>
  <c r="D66"/>
  <c r="C66"/>
  <c r="F65"/>
  <c r="E65"/>
  <c r="D65"/>
  <c r="C65"/>
  <c r="F64"/>
  <c r="E64"/>
  <c r="D64"/>
  <c r="C64"/>
  <c r="F63"/>
  <c r="F70" s="1"/>
  <c r="E63"/>
  <c r="D63"/>
  <c r="C63"/>
  <c r="F60"/>
  <c r="E60"/>
  <c r="D60"/>
  <c r="C60"/>
  <c r="F59"/>
  <c r="E59"/>
  <c r="D59"/>
  <c r="C59"/>
  <c r="F58"/>
  <c r="F61" s="1"/>
  <c r="E58"/>
  <c r="E61" s="1"/>
  <c r="D58"/>
  <c r="C58"/>
  <c r="C61" s="1"/>
  <c r="F71" l="1"/>
  <c r="E70"/>
  <c r="E71" s="1"/>
  <c r="C70"/>
  <c r="C71" s="1"/>
  <c r="D61"/>
  <c r="D70"/>
  <c r="F38" i="6"/>
  <c r="E38"/>
  <c r="D38"/>
  <c r="C38"/>
  <c r="D71" i="2" l="1"/>
  <c r="C3" i="5"/>
  <c r="D3"/>
  <c r="E3"/>
  <c r="F3"/>
  <c r="C4"/>
  <c r="D4"/>
  <c r="E4"/>
  <c r="F4"/>
  <c r="C5"/>
  <c r="D5"/>
  <c r="E6"/>
  <c r="F6"/>
  <c r="F5" i="10" l="1"/>
  <c r="F5" i="2"/>
  <c r="F9" i="4"/>
  <c r="E9"/>
  <c r="D9"/>
  <c r="F36" i="5" l="1"/>
  <c r="E36"/>
  <c r="D36"/>
  <c r="C36"/>
  <c r="F29" i="2" l="1"/>
  <c r="E29"/>
  <c r="D29"/>
  <c r="C29"/>
  <c r="F38" i="3" l="1"/>
  <c r="E38"/>
  <c r="D38"/>
  <c r="C38"/>
  <c r="F45" i="5" l="1"/>
  <c r="E45"/>
  <c r="C45"/>
  <c r="F36" i="9" l="1"/>
  <c r="E36"/>
  <c r="D36"/>
  <c r="C36"/>
  <c r="F36" i="2" l="1"/>
  <c r="E36"/>
  <c r="D36"/>
  <c r="C36"/>
  <c r="F42" i="9"/>
  <c r="E42"/>
  <c r="D42"/>
  <c r="C42"/>
  <c r="F52" i="7"/>
  <c r="E52"/>
  <c r="D52"/>
  <c r="C52"/>
  <c r="F22" l="1"/>
  <c r="E22"/>
  <c r="D22"/>
  <c r="C22"/>
  <c r="F45" i="11" l="1"/>
  <c r="E45"/>
  <c r="D45"/>
  <c r="C45"/>
  <c r="F44"/>
  <c r="E44"/>
  <c r="D44"/>
  <c r="C44"/>
  <c r="F43"/>
  <c r="F46" s="1"/>
  <c r="E43"/>
  <c r="E46" s="1"/>
  <c r="D43"/>
  <c r="D46" s="1"/>
  <c r="C43"/>
  <c r="C46" s="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E41" s="1"/>
  <c r="D33"/>
  <c r="C33"/>
  <c r="F32"/>
  <c r="F41" s="1"/>
  <c r="E32"/>
  <c r="D32"/>
  <c r="D41" s="1"/>
  <c r="C32"/>
  <c r="C41" s="1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E30" s="1"/>
  <c r="D24"/>
  <c r="C24"/>
  <c r="F23"/>
  <c r="F30" s="1"/>
  <c r="E23"/>
  <c r="D23"/>
  <c r="D30" s="1"/>
  <c r="C23"/>
  <c r="C30" s="1"/>
  <c r="F19"/>
  <c r="E19"/>
  <c r="D19"/>
  <c r="C19"/>
  <c r="F16"/>
  <c r="E16"/>
  <c r="D16"/>
  <c r="C16"/>
  <c r="F15"/>
  <c r="E15"/>
  <c r="D15"/>
  <c r="C15"/>
  <c r="F13"/>
  <c r="E13"/>
  <c r="D13"/>
  <c r="C13"/>
  <c r="F12"/>
  <c r="E12"/>
  <c r="D12"/>
  <c r="C12"/>
  <c r="F11"/>
  <c r="F14" s="1"/>
  <c r="E11"/>
  <c r="E14" s="1"/>
  <c r="D11"/>
  <c r="D14" s="1"/>
  <c r="C11"/>
  <c r="C14" s="1"/>
  <c r="F17"/>
  <c r="E17"/>
  <c r="D17"/>
  <c r="C17"/>
  <c r="F54" i="10"/>
  <c r="E54"/>
  <c r="D54"/>
  <c r="C54"/>
  <c r="D47"/>
  <c r="F46"/>
  <c r="E46"/>
  <c r="D46"/>
  <c r="C46"/>
  <c r="F45"/>
  <c r="F47" s="1"/>
  <c r="E45"/>
  <c r="E47" s="1"/>
  <c r="D45"/>
  <c r="C45"/>
  <c r="C47" s="1"/>
  <c r="F42"/>
  <c r="E42"/>
  <c r="D42"/>
  <c r="C42"/>
  <c r="F41"/>
  <c r="E41"/>
  <c r="D41"/>
  <c r="C41"/>
  <c r="F40"/>
  <c r="F43" s="1"/>
  <c r="E40"/>
  <c r="E43" s="1"/>
  <c r="D40"/>
  <c r="D43" s="1"/>
  <c r="C40"/>
  <c r="C43" s="1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F38" s="1"/>
  <c r="E32"/>
  <c r="E38" s="1"/>
  <c r="D32"/>
  <c r="D38" s="1"/>
  <c r="C32"/>
  <c r="C38" s="1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F30" s="1"/>
  <c r="E23"/>
  <c r="E30" s="1"/>
  <c r="D23"/>
  <c r="D30" s="1"/>
  <c r="C23"/>
  <c r="C30" s="1"/>
  <c r="F19"/>
  <c r="E19"/>
  <c r="D19"/>
  <c r="C19"/>
  <c r="F16"/>
  <c r="E16"/>
  <c r="D16"/>
  <c r="C16"/>
  <c r="F15"/>
  <c r="E15"/>
  <c r="D15"/>
  <c r="C15"/>
  <c r="F14"/>
  <c r="E14"/>
  <c r="D14"/>
  <c r="C14"/>
  <c r="F12"/>
  <c r="E12"/>
  <c r="D12"/>
  <c r="C12"/>
  <c r="F11"/>
  <c r="F13" s="1"/>
  <c r="E11"/>
  <c r="E13" s="1"/>
  <c r="D11"/>
  <c r="D13" s="1"/>
  <c r="C11"/>
  <c r="C13" s="1"/>
  <c r="F10"/>
  <c r="E10"/>
  <c r="D10"/>
  <c r="C10"/>
  <c r="F7"/>
  <c r="E7"/>
  <c r="D7"/>
  <c r="C7"/>
  <c r="F6"/>
  <c r="E6"/>
  <c r="D6"/>
  <c r="C6"/>
  <c r="E5"/>
  <c r="D5"/>
  <c r="C5"/>
  <c r="F4"/>
  <c r="F8" s="1"/>
  <c r="F17" s="1"/>
  <c r="E4"/>
  <c r="D4"/>
  <c r="D8" s="1"/>
  <c r="D17" s="1"/>
  <c r="C4"/>
  <c r="F40" i="9"/>
  <c r="E40"/>
  <c r="D40"/>
  <c r="C40"/>
  <c r="F39"/>
  <c r="F41" s="1"/>
  <c r="E39"/>
  <c r="E41" s="1"/>
  <c r="D39"/>
  <c r="D41" s="1"/>
  <c r="C39"/>
  <c r="C41" s="1"/>
  <c r="F37"/>
  <c r="E37"/>
  <c r="D37"/>
  <c r="C37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F38" s="1"/>
  <c r="E30"/>
  <c r="E38" s="1"/>
  <c r="D30"/>
  <c r="D38" s="1"/>
  <c r="C30"/>
  <c r="C38" s="1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F28" s="1"/>
  <c r="F50" s="1"/>
  <c r="E22"/>
  <c r="E28" s="1"/>
  <c r="D22"/>
  <c r="D28" s="1"/>
  <c r="D50" s="1"/>
  <c r="C22"/>
  <c r="C28" s="1"/>
  <c r="F18"/>
  <c r="E18"/>
  <c r="D18"/>
  <c r="C18"/>
  <c r="F17"/>
  <c r="E17"/>
  <c r="D17"/>
  <c r="C17"/>
  <c r="F51" i="8"/>
  <c r="E51"/>
  <c r="D51"/>
  <c r="C51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F29" s="1"/>
  <c r="E21"/>
  <c r="E29" s="1"/>
  <c r="D21"/>
  <c r="D29" s="1"/>
  <c r="C21"/>
  <c r="F17"/>
  <c r="E17"/>
  <c r="D17"/>
  <c r="C17"/>
  <c r="F14"/>
  <c r="E14"/>
  <c r="D14"/>
  <c r="C14"/>
  <c r="F13"/>
  <c r="E13"/>
  <c r="D13"/>
  <c r="C13"/>
  <c r="F11"/>
  <c r="E11"/>
  <c r="D11"/>
  <c r="C11"/>
  <c r="F10"/>
  <c r="E10"/>
  <c r="D10"/>
  <c r="C10"/>
  <c r="F9"/>
  <c r="F12" s="1"/>
  <c r="E9"/>
  <c r="E12" s="1"/>
  <c r="E15" s="1"/>
  <c r="D9"/>
  <c r="D12" s="1"/>
  <c r="D15" s="1"/>
  <c r="C9"/>
  <c r="C12" s="1"/>
  <c r="C15" s="1"/>
  <c r="F55" i="7"/>
  <c r="E55"/>
  <c r="D55"/>
  <c r="C55"/>
  <c r="F53"/>
  <c r="E53"/>
  <c r="D53"/>
  <c r="C53"/>
  <c r="F54"/>
  <c r="E54"/>
  <c r="D54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19"/>
  <c r="E19"/>
  <c r="D19"/>
  <c r="C19"/>
  <c r="F15"/>
  <c r="E15"/>
  <c r="D15"/>
  <c r="C15"/>
  <c r="F14"/>
  <c r="E14"/>
  <c r="D14"/>
  <c r="C14"/>
  <c r="F12"/>
  <c r="E12"/>
  <c r="D12"/>
  <c r="C12"/>
  <c r="F11"/>
  <c r="E11"/>
  <c r="D11"/>
  <c r="C11"/>
  <c r="F10"/>
  <c r="F13" s="1"/>
  <c r="E10"/>
  <c r="E13" s="1"/>
  <c r="D10"/>
  <c r="D13" s="1"/>
  <c r="C10"/>
  <c r="C13" s="1"/>
  <c r="F7"/>
  <c r="E7"/>
  <c r="D7"/>
  <c r="C7"/>
  <c r="F6"/>
  <c r="E6"/>
  <c r="D6"/>
  <c r="C6"/>
  <c r="F5"/>
  <c r="E5"/>
  <c r="D5"/>
  <c r="C5"/>
  <c r="F4"/>
  <c r="F8" s="1"/>
  <c r="F17" s="1"/>
  <c r="E4"/>
  <c r="E8" s="1"/>
  <c r="E17" s="1"/>
  <c r="D4"/>
  <c r="D8" s="1"/>
  <c r="D17" s="1"/>
  <c r="C4"/>
  <c r="F43" i="6"/>
  <c r="E43"/>
  <c r="D43"/>
  <c r="C43"/>
  <c r="F41"/>
  <c r="E41"/>
  <c r="D41"/>
  <c r="C41"/>
  <c r="F40"/>
  <c r="F42" s="1"/>
  <c r="E40"/>
  <c r="E42" s="1"/>
  <c r="D40"/>
  <c r="D42" s="1"/>
  <c r="C40"/>
  <c r="C42" s="1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F28" s="1"/>
  <c r="E22"/>
  <c r="E28" s="1"/>
  <c r="D22"/>
  <c r="D28" s="1"/>
  <c r="C22"/>
  <c r="C28" s="1"/>
  <c r="F18"/>
  <c r="E18"/>
  <c r="D18"/>
  <c r="C18"/>
  <c r="F14"/>
  <c r="E14"/>
  <c r="D14"/>
  <c r="C14"/>
  <c r="F13"/>
  <c r="E13"/>
  <c r="D13"/>
  <c r="C13"/>
  <c r="F11"/>
  <c r="E11"/>
  <c r="D11"/>
  <c r="C11"/>
  <c r="F10"/>
  <c r="E10"/>
  <c r="D10"/>
  <c r="C10"/>
  <c r="F9"/>
  <c r="F12" s="1"/>
  <c r="E9"/>
  <c r="E12" s="1"/>
  <c r="D9"/>
  <c r="D12" s="1"/>
  <c r="C9"/>
  <c r="C12" s="1"/>
  <c r="F15"/>
  <c r="E15"/>
  <c r="D15"/>
  <c r="C15"/>
  <c r="D45" i="5"/>
  <c r="D41"/>
  <c r="F40"/>
  <c r="E40"/>
  <c r="D40"/>
  <c r="C40"/>
  <c r="F39"/>
  <c r="F41" s="1"/>
  <c r="E39"/>
  <c r="E41" s="1"/>
  <c r="D39"/>
  <c r="C39"/>
  <c r="C41" s="1"/>
  <c r="F35"/>
  <c r="E35"/>
  <c r="D35"/>
  <c r="C35"/>
  <c r="F34"/>
  <c r="E34"/>
  <c r="D34"/>
  <c r="C34"/>
  <c r="F33"/>
  <c r="E33"/>
  <c r="D33"/>
  <c r="C33"/>
  <c r="F32"/>
  <c r="E32"/>
  <c r="D32"/>
  <c r="C32"/>
  <c r="F31"/>
  <c r="F37" s="1"/>
  <c r="E31"/>
  <c r="E37" s="1"/>
  <c r="D31"/>
  <c r="D37" s="1"/>
  <c r="C31"/>
  <c r="C37" s="1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D23"/>
  <c r="C23"/>
  <c r="F22"/>
  <c r="E22"/>
  <c r="D22"/>
  <c r="C22"/>
  <c r="F21"/>
  <c r="F29" s="1"/>
  <c r="F47" s="1"/>
  <c r="E21"/>
  <c r="E29" s="1"/>
  <c r="D21"/>
  <c r="D29" s="1"/>
  <c r="D47" s="1"/>
  <c r="C21"/>
  <c r="C29" s="1"/>
  <c r="C47" s="1"/>
  <c r="F15"/>
  <c r="E15"/>
  <c r="D15"/>
  <c r="C15"/>
  <c r="F14"/>
  <c r="E14"/>
  <c r="D14"/>
  <c r="C14"/>
  <c r="F13"/>
  <c r="F16" s="1"/>
  <c r="E13"/>
  <c r="E16" s="1"/>
  <c r="D13"/>
  <c r="D16" s="1"/>
  <c r="C13"/>
  <c r="C16" s="1"/>
  <c r="F11"/>
  <c r="E11"/>
  <c r="D11"/>
  <c r="C11"/>
  <c r="F10"/>
  <c r="F12" s="1"/>
  <c r="E10"/>
  <c r="E12" s="1"/>
  <c r="D10"/>
  <c r="C10"/>
  <c r="F9"/>
  <c r="E9"/>
  <c r="D9"/>
  <c r="D12" s="1"/>
  <c r="C9"/>
  <c r="C12" s="1"/>
  <c r="D6"/>
  <c r="C6"/>
  <c r="F5"/>
  <c r="E5"/>
  <c r="E7" s="1"/>
  <c r="E17" s="1"/>
  <c r="F7"/>
  <c r="F17" s="1"/>
  <c r="F66" s="1"/>
  <c r="D7"/>
  <c r="D17" s="1"/>
  <c r="C7"/>
  <c r="F48" i="4"/>
  <c r="E48"/>
  <c r="D48"/>
  <c r="C48"/>
  <c r="F47"/>
  <c r="E47"/>
  <c r="D47"/>
  <c r="C47"/>
  <c r="F46"/>
  <c r="E46"/>
  <c r="E49" s="1"/>
  <c r="D46"/>
  <c r="D49" s="1"/>
  <c r="C46"/>
  <c r="C49" s="1"/>
  <c r="F43"/>
  <c r="F44" s="1"/>
  <c r="E43"/>
  <c r="E44" s="1"/>
  <c r="D43"/>
  <c r="D44" s="1"/>
  <c r="C43"/>
  <c r="C44" s="1"/>
  <c r="F41"/>
  <c r="E41"/>
  <c r="D41"/>
  <c r="C41"/>
  <c r="F40"/>
  <c r="E40"/>
  <c r="E42" s="1"/>
  <c r="D40"/>
  <c r="D42" s="1"/>
  <c r="C40"/>
  <c r="C42" s="1"/>
  <c r="F37"/>
  <c r="E37"/>
  <c r="D37"/>
  <c r="C37"/>
  <c r="F36"/>
  <c r="E36"/>
  <c r="D36"/>
  <c r="C36"/>
  <c r="F35"/>
  <c r="E35"/>
  <c r="E38" s="1"/>
  <c r="D35"/>
  <c r="D38" s="1"/>
  <c r="C35"/>
  <c r="C38" s="1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E33" s="1"/>
  <c r="D28"/>
  <c r="D33" s="1"/>
  <c r="C28"/>
  <c r="C33" s="1"/>
  <c r="C50" s="1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F26" s="1"/>
  <c r="E19"/>
  <c r="E26" s="1"/>
  <c r="D19"/>
  <c r="D26" s="1"/>
  <c r="C19"/>
  <c r="C26" s="1"/>
  <c r="F16"/>
  <c r="E16"/>
  <c r="D16"/>
  <c r="C16"/>
  <c r="F11"/>
  <c r="E11"/>
  <c r="D11"/>
  <c r="C11"/>
  <c r="F10"/>
  <c r="E10"/>
  <c r="D10"/>
  <c r="C10"/>
  <c r="F12"/>
  <c r="F15" s="1"/>
  <c r="E12"/>
  <c r="E15" s="1"/>
  <c r="D12"/>
  <c r="D15" s="1"/>
  <c r="C9"/>
  <c r="C12" s="1"/>
  <c r="C15" s="1"/>
  <c r="F51" i="3"/>
  <c r="E51"/>
  <c r="D51"/>
  <c r="C51"/>
  <c r="F50"/>
  <c r="F52" s="1"/>
  <c r="E50"/>
  <c r="D50"/>
  <c r="C50"/>
  <c r="F49"/>
  <c r="E49"/>
  <c r="E52" s="1"/>
  <c r="D49"/>
  <c r="D52" s="1"/>
  <c r="C49"/>
  <c r="C52" s="1"/>
  <c r="F43"/>
  <c r="E43"/>
  <c r="D43"/>
  <c r="C43"/>
  <c r="F42"/>
  <c r="E42"/>
  <c r="D42"/>
  <c r="C42"/>
  <c r="F41"/>
  <c r="F44" s="1"/>
  <c r="E41"/>
  <c r="E44" s="1"/>
  <c r="D41"/>
  <c r="D44" s="1"/>
  <c r="C41"/>
  <c r="C44" s="1"/>
  <c r="F40"/>
  <c r="E40"/>
  <c r="D40"/>
  <c r="C40"/>
  <c r="F37"/>
  <c r="E37"/>
  <c r="D37"/>
  <c r="C37"/>
  <c r="F36"/>
  <c r="E36"/>
  <c r="D36"/>
  <c r="C36"/>
  <c r="F35"/>
  <c r="E35"/>
  <c r="E39" s="1"/>
  <c r="D35"/>
  <c r="C35"/>
  <c r="F34"/>
  <c r="F39" s="1"/>
  <c r="D34"/>
  <c r="C34"/>
  <c r="F31"/>
  <c r="E31"/>
  <c r="D31"/>
  <c r="C31"/>
  <c r="F30"/>
  <c r="E30"/>
  <c r="D30"/>
  <c r="C30"/>
  <c r="F29"/>
  <c r="E29"/>
  <c r="D29"/>
  <c r="C29"/>
  <c r="F28"/>
  <c r="E28"/>
  <c r="C28"/>
  <c r="F27"/>
  <c r="E27"/>
  <c r="D27"/>
  <c r="C27"/>
  <c r="F26"/>
  <c r="E26"/>
  <c r="D26"/>
  <c r="C26"/>
  <c r="F25"/>
  <c r="E25"/>
  <c r="D25"/>
  <c r="C25"/>
  <c r="F24"/>
  <c r="E24"/>
  <c r="E32" s="1"/>
  <c r="E53" s="1"/>
  <c r="E69" s="1"/>
  <c r="D24"/>
  <c r="C24"/>
  <c r="F23"/>
  <c r="E23"/>
  <c r="D23"/>
  <c r="C23"/>
  <c r="C32" s="1"/>
  <c r="F20"/>
  <c r="E20"/>
  <c r="D20"/>
  <c r="C20"/>
  <c r="F18"/>
  <c r="E18"/>
  <c r="D18"/>
  <c r="C18"/>
  <c r="F17"/>
  <c r="E17"/>
  <c r="D17"/>
  <c r="C17"/>
  <c r="F16"/>
  <c r="E16"/>
  <c r="D16"/>
  <c r="C16"/>
  <c r="F14"/>
  <c r="E14"/>
  <c r="E19" s="1"/>
  <c r="D14"/>
  <c r="D19" s="1"/>
  <c r="C14"/>
  <c r="C19" s="1"/>
  <c r="F12"/>
  <c r="E12"/>
  <c r="D12"/>
  <c r="C12"/>
  <c r="F11"/>
  <c r="E11"/>
  <c r="D11"/>
  <c r="C11"/>
  <c r="F10"/>
  <c r="E10"/>
  <c r="E13" s="1"/>
  <c r="D10"/>
  <c r="D13" s="1"/>
  <c r="C10"/>
  <c r="F9"/>
  <c r="E9"/>
  <c r="D9"/>
  <c r="C9"/>
  <c r="F7"/>
  <c r="E7"/>
  <c r="D7"/>
  <c r="C7"/>
  <c r="F6"/>
  <c r="E6"/>
  <c r="D6"/>
  <c r="C6"/>
  <c r="F5"/>
  <c r="E5"/>
  <c r="D5"/>
  <c r="C5"/>
  <c r="F4"/>
  <c r="F8" s="1"/>
  <c r="E4"/>
  <c r="E8" s="1"/>
  <c r="D4"/>
  <c r="C4"/>
  <c r="C8" i="10" l="1"/>
  <c r="D32" i="3"/>
  <c r="F32"/>
  <c r="F53" s="1"/>
  <c r="F69" s="1"/>
  <c r="C39"/>
  <c r="C53" s="1"/>
  <c r="C69" s="1"/>
  <c r="D55" i="10"/>
  <c r="D74" s="1"/>
  <c r="C55"/>
  <c r="C17"/>
  <c r="D68" i="9"/>
  <c r="F68"/>
  <c r="E47" i="5"/>
  <c r="E66" s="1"/>
  <c r="C54" i="11"/>
  <c r="E54"/>
  <c r="D54"/>
  <c r="F54"/>
  <c r="C60"/>
  <c r="E60"/>
  <c r="D60"/>
  <c r="F60"/>
  <c r="C29" i="8"/>
  <c r="C73" s="1"/>
  <c r="E55" i="10"/>
  <c r="F55"/>
  <c r="F74" s="1"/>
  <c r="E8"/>
  <c r="E17" s="1"/>
  <c r="C50" i="9"/>
  <c r="C68" s="1"/>
  <c r="E50"/>
  <c r="E68" s="1"/>
  <c r="D73" i="8"/>
  <c r="E73"/>
  <c r="F15"/>
  <c r="C8" i="7"/>
  <c r="C17" s="1"/>
  <c r="D66" i="5"/>
  <c r="D60" i="6"/>
  <c r="F60"/>
  <c r="C60"/>
  <c r="E60"/>
  <c r="D39" i="3"/>
  <c r="E50" i="4"/>
  <c r="E69" s="1"/>
  <c r="F33"/>
  <c r="F38"/>
  <c r="D50"/>
  <c r="D69" s="1"/>
  <c r="C8" i="3"/>
  <c r="C54" i="7"/>
  <c r="D31"/>
  <c r="F31"/>
  <c r="C31"/>
  <c r="C56" s="1"/>
  <c r="E31"/>
  <c r="C13" i="3"/>
  <c r="C17" i="5"/>
  <c r="C66" s="1"/>
  <c r="F42" i="4"/>
  <c r="F49"/>
  <c r="F13" i="3"/>
  <c r="F19" s="1"/>
  <c r="D8"/>
  <c r="F53" i="2"/>
  <c r="E53"/>
  <c r="D53"/>
  <c r="C53"/>
  <c r="F51"/>
  <c r="F52" s="1"/>
  <c r="E51"/>
  <c r="E52" s="1"/>
  <c r="D51"/>
  <c r="D52" s="1"/>
  <c r="C51"/>
  <c r="C52" s="1"/>
  <c r="D50"/>
  <c r="F49"/>
  <c r="E49"/>
  <c r="D49"/>
  <c r="C49"/>
  <c r="F48"/>
  <c r="F50" s="1"/>
  <c r="E48"/>
  <c r="E50" s="1"/>
  <c r="D48"/>
  <c r="C48"/>
  <c r="C50" s="1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F46" s="1"/>
  <c r="E39"/>
  <c r="E46" s="1"/>
  <c r="D39"/>
  <c r="D46" s="1"/>
  <c r="C39"/>
  <c r="F35"/>
  <c r="E35"/>
  <c r="D35"/>
  <c r="C35"/>
  <c r="F34"/>
  <c r="E34"/>
  <c r="D34"/>
  <c r="C34"/>
  <c r="F33"/>
  <c r="E33"/>
  <c r="D33"/>
  <c r="C33"/>
  <c r="F32"/>
  <c r="F37" s="1"/>
  <c r="E32"/>
  <c r="E37" s="1"/>
  <c r="D32"/>
  <c r="D37" s="1"/>
  <c r="C32"/>
  <c r="C37" s="1"/>
  <c r="F28"/>
  <c r="E28"/>
  <c r="D28"/>
  <c r="C28"/>
  <c r="F27"/>
  <c r="E27"/>
  <c r="D27"/>
  <c r="C27"/>
  <c r="F26"/>
  <c r="E26"/>
  <c r="D26"/>
  <c r="C26"/>
  <c r="F25"/>
  <c r="E25"/>
  <c r="D25"/>
  <c r="C25"/>
  <c r="F24"/>
  <c r="F30" s="1"/>
  <c r="F54" s="1"/>
  <c r="E24"/>
  <c r="E30" s="1"/>
  <c r="D24"/>
  <c r="D30" s="1"/>
  <c r="C24"/>
  <c r="C30" s="1"/>
  <c r="F20"/>
  <c r="E20"/>
  <c r="D20"/>
  <c r="C20"/>
  <c r="F19"/>
  <c r="E19"/>
  <c r="D19"/>
  <c r="C19"/>
  <c r="F17"/>
  <c r="E17"/>
  <c r="D17"/>
  <c r="C17"/>
  <c r="F16"/>
  <c r="E16"/>
  <c r="D16"/>
  <c r="C16"/>
  <c r="F15"/>
  <c r="E15"/>
  <c r="D15"/>
  <c r="C15"/>
  <c r="F13"/>
  <c r="E13"/>
  <c r="D13"/>
  <c r="C13"/>
  <c r="F11"/>
  <c r="E11"/>
  <c r="D11"/>
  <c r="C11"/>
  <c r="F10"/>
  <c r="E10"/>
  <c r="D10"/>
  <c r="C10"/>
  <c r="F7"/>
  <c r="E7"/>
  <c r="D7"/>
  <c r="C7"/>
  <c r="F6"/>
  <c r="E6"/>
  <c r="D6"/>
  <c r="C6"/>
  <c r="E5"/>
  <c r="D5"/>
  <c r="C5"/>
  <c r="F4"/>
  <c r="E4"/>
  <c r="D4"/>
  <c r="C4"/>
  <c r="C8" s="1"/>
  <c r="C18" s="1"/>
  <c r="E74" i="10" l="1"/>
  <c r="C74"/>
  <c r="E56" i="7"/>
  <c r="E64" s="1"/>
  <c r="F56"/>
  <c r="F64" s="1"/>
  <c r="D56"/>
  <c r="D64" s="1"/>
  <c r="D54" i="2"/>
  <c r="F73" i="8"/>
  <c r="D53" i="3"/>
  <c r="D69" s="1"/>
  <c r="C64" i="7"/>
  <c r="E54" i="2"/>
  <c r="C46"/>
  <c r="C54" s="1"/>
  <c r="C72" s="1"/>
  <c r="F50" i="4"/>
  <c r="F69" s="1"/>
  <c r="E8" i="2"/>
  <c r="E18" s="1"/>
  <c r="D8"/>
  <c r="D18" s="1"/>
  <c r="D72" s="1"/>
  <c r="F8"/>
  <c r="F18" s="1"/>
  <c r="F72" s="1"/>
  <c r="F510" i="1"/>
  <c r="E510"/>
  <c r="C510"/>
  <c r="D510"/>
  <c r="F197"/>
  <c r="E197"/>
  <c r="D197"/>
  <c r="C197"/>
  <c r="E72" i="2" l="1"/>
  <c r="F11" i="1"/>
  <c r="E11"/>
  <c r="D11"/>
  <c r="C11"/>
  <c r="C54" l="1"/>
  <c r="F139"/>
  <c r="E139"/>
  <c r="D139"/>
  <c r="C139"/>
  <c r="F78" l="1"/>
  <c r="E78"/>
  <c r="D78"/>
  <c r="C78"/>
  <c r="F21"/>
  <c r="E21"/>
  <c r="D21"/>
  <c r="C21"/>
  <c r="F544"/>
  <c r="E544"/>
  <c r="D544"/>
  <c r="C544"/>
  <c r="F543"/>
  <c r="E543"/>
  <c r="D543"/>
  <c r="C543"/>
  <c r="F546"/>
  <c r="F548"/>
  <c r="E541"/>
  <c r="E546"/>
  <c r="E548"/>
  <c r="D541"/>
  <c r="D546"/>
  <c r="D548"/>
  <c r="C541"/>
  <c r="C546"/>
  <c r="C548"/>
  <c r="F541"/>
  <c r="F540"/>
  <c r="E540"/>
  <c r="D540"/>
  <c r="C540"/>
  <c r="F539"/>
  <c r="E539"/>
  <c r="D539"/>
  <c r="C539"/>
  <c r="F534"/>
  <c r="F536"/>
  <c r="E536"/>
  <c r="D536"/>
  <c r="C536"/>
  <c r="F535"/>
  <c r="E535"/>
  <c r="D535"/>
  <c r="C535"/>
  <c r="E534"/>
  <c r="D534"/>
  <c r="C534"/>
  <c r="F531"/>
  <c r="E531"/>
  <c r="D531"/>
  <c r="C531"/>
  <c r="F533"/>
  <c r="F538"/>
  <c r="F530"/>
  <c r="E530"/>
  <c r="C530"/>
  <c r="F529"/>
  <c r="E529"/>
  <c r="D529"/>
  <c r="C529"/>
  <c r="F528"/>
  <c r="E528"/>
  <c r="D528"/>
  <c r="C528"/>
  <c r="F527"/>
  <c r="E527"/>
  <c r="D527"/>
  <c r="C527"/>
  <c r="F526"/>
  <c r="E526"/>
  <c r="D526"/>
  <c r="C526"/>
  <c r="F525"/>
  <c r="E525"/>
  <c r="D525"/>
  <c r="C525"/>
  <c r="F524"/>
  <c r="E524"/>
  <c r="D524"/>
  <c r="C524"/>
  <c r="F523"/>
  <c r="E523"/>
  <c r="D523"/>
  <c r="C523"/>
  <c r="F520"/>
  <c r="E520"/>
  <c r="D520"/>
  <c r="C520"/>
  <c r="F519"/>
  <c r="E519"/>
  <c r="D519"/>
  <c r="C519"/>
  <c r="F518"/>
  <c r="E518"/>
  <c r="D518"/>
  <c r="C518"/>
  <c r="F517"/>
  <c r="E517"/>
  <c r="D517"/>
  <c r="C517"/>
  <c r="F516"/>
  <c r="E516"/>
  <c r="D516"/>
  <c r="C516"/>
  <c r="F515"/>
  <c r="E515"/>
  <c r="E521" s="1"/>
  <c r="D515"/>
  <c r="C515"/>
  <c r="F514"/>
  <c r="F521" s="1"/>
  <c r="E514"/>
  <c r="D514"/>
  <c r="D521" s="1"/>
  <c r="C514"/>
  <c r="C521" s="1"/>
  <c r="C537" l="1"/>
  <c r="D537"/>
  <c r="F537"/>
  <c r="D542"/>
  <c r="F542"/>
  <c r="E537"/>
  <c r="E532"/>
  <c r="C542"/>
  <c r="E542"/>
  <c r="C532"/>
  <c r="F532"/>
  <c r="F545" s="1"/>
  <c r="F507"/>
  <c r="E507"/>
  <c r="C507"/>
  <c r="F506"/>
  <c r="E506"/>
  <c r="D506"/>
  <c r="C506"/>
  <c r="F504"/>
  <c r="E504"/>
  <c r="D504"/>
  <c r="D503"/>
  <c r="C504"/>
  <c r="F503"/>
  <c r="E503"/>
  <c r="C503"/>
  <c r="F502"/>
  <c r="E502"/>
  <c r="D502"/>
  <c r="C502"/>
  <c r="F499"/>
  <c r="E499"/>
  <c r="D499"/>
  <c r="C499"/>
  <c r="F498"/>
  <c r="E498"/>
  <c r="D498"/>
  <c r="C498"/>
  <c r="F497"/>
  <c r="E497"/>
  <c r="C497"/>
  <c r="F496"/>
  <c r="E496"/>
  <c r="D496"/>
  <c r="C496"/>
  <c r="F495"/>
  <c r="E495"/>
  <c r="D495"/>
  <c r="C495"/>
  <c r="F494"/>
  <c r="D494"/>
  <c r="E494"/>
  <c r="C494"/>
  <c r="F493"/>
  <c r="E493"/>
  <c r="D493"/>
  <c r="C493"/>
  <c r="F485"/>
  <c r="E485"/>
  <c r="D485"/>
  <c r="C485"/>
  <c r="F484"/>
  <c r="E484"/>
  <c r="D484"/>
  <c r="C484"/>
  <c r="F483"/>
  <c r="E483"/>
  <c r="D483"/>
  <c r="C483"/>
  <c r="C545" l="1"/>
  <c r="E505"/>
  <c r="C500"/>
  <c r="E545"/>
  <c r="C505"/>
  <c r="F505"/>
  <c r="D505"/>
  <c r="E500"/>
  <c r="E508" s="1"/>
  <c r="E547" s="1"/>
  <c r="F500"/>
  <c r="F481"/>
  <c r="E481"/>
  <c r="D481"/>
  <c r="C481"/>
  <c r="F480"/>
  <c r="F482" s="1"/>
  <c r="E480"/>
  <c r="E482" s="1"/>
  <c r="D480"/>
  <c r="C480"/>
  <c r="C482" s="1"/>
  <c r="F477"/>
  <c r="E477"/>
  <c r="C477"/>
  <c r="F476"/>
  <c r="E476"/>
  <c r="D476"/>
  <c r="C476"/>
  <c r="F475"/>
  <c r="E475"/>
  <c r="D475"/>
  <c r="C475"/>
  <c r="C478" s="1"/>
  <c r="F468"/>
  <c r="F467"/>
  <c r="F472"/>
  <c r="E472"/>
  <c r="C472"/>
  <c r="F471"/>
  <c r="E471"/>
  <c r="D471"/>
  <c r="C471"/>
  <c r="F470"/>
  <c r="E470"/>
  <c r="D470"/>
  <c r="C470"/>
  <c r="F469"/>
  <c r="E469"/>
  <c r="D469"/>
  <c r="C469"/>
  <c r="D468"/>
  <c r="E468"/>
  <c r="C468"/>
  <c r="E467"/>
  <c r="D467"/>
  <c r="C467"/>
  <c r="F464"/>
  <c r="E464"/>
  <c r="C464"/>
  <c r="F463"/>
  <c r="E463"/>
  <c r="D463"/>
  <c r="C463"/>
  <c r="F462"/>
  <c r="E462"/>
  <c r="D462"/>
  <c r="C462"/>
  <c r="F461"/>
  <c r="E461"/>
  <c r="D461"/>
  <c r="C461"/>
  <c r="F460"/>
  <c r="E460"/>
  <c r="D460"/>
  <c r="C460"/>
  <c r="F459"/>
  <c r="E459"/>
  <c r="D459"/>
  <c r="C459"/>
  <c r="F458"/>
  <c r="E458"/>
  <c r="D458"/>
  <c r="C458"/>
  <c r="C465" s="1"/>
  <c r="F454"/>
  <c r="E454"/>
  <c r="D454"/>
  <c r="C454"/>
  <c r="F451"/>
  <c r="E451"/>
  <c r="C451"/>
  <c r="F450"/>
  <c r="E450"/>
  <c r="D450"/>
  <c r="C450"/>
  <c r="F449"/>
  <c r="E449"/>
  <c r="D449"/>
  <c r="C449"/>
  <c r="F445"/>
  <c r="E445"/>
  <c r="D445"/>
  <c r="C445"/>
  <c r="F447"/>
  <c r="E447"/>
  <c r="D447"/>
  <c r="C447"/>
  <c r="F446"/>
  <c r="F448" s="1"/>
  <c r="E446"/>
  <c r="E448" s="1"/>
  <c r="D446"/>
  <c r="D448" s="1"/>
  <c r="C446"/>
  <c r="C448" s="1"/>
  <c r="F442"/>
  <c r="E442"/>
  <c r="D442"/>
  <c r="C442"/>
  <c r="F441"/>
  <c r="E441"/>
  <c r="C441"/>
  <c r="E440"/>
  <c r="D440"/>
  <c r="C440"/>
  <c r="F439"/>
  <c r="E439"/>
  <c r="E443" s="1"/>
  <c r="D439"/>
  <c r="C439"/>
  <c r="F508" l="1"/>
  <c r="F547" s="1"/>
  <c r="C508"/>
  <c r="C547" s="1"/>
  <c r="C443"/>
  <c r="C452" s="1"/>
  <c r="E452"/>
  <c r="F465"/>
  <c r="C473"/>
  <c r="E473"/>
  <c r="F478"/>
  <c r="F473"/>
  <c r="E465"/>
  <c r="E478"/>
  <c r="C486"/>
  <c r="F431"/>
  <c r="E431"/>
  <c r="D431"/>
  <c r="C431"/>
  <c r="F430"/>
  <c r="E430"/>
  <c r="D430"/>
  <c r="C430"/>
  <c r="F428"/>
  <c r="E428"/>
  <c r="D428"/>
  <c r="C428"/>
  <c r="F427"/>
  <c r="F429" s="1"/>
  <c r="E427"/>
  <c r="D427"/>
  <c r="D429" s="1"/>
  <c r="C427"/>
  <c r="F425"/>
  <c r="E425"/>
  <c r="D425"/>
  <c r="C425"/>
  <c r="F424"/>
  <c r="F426" s="1"/>
  <c r="E424"/>
  <c r="E426" s="1"/>
  <c r="D424"/>
  <c r="C424"/>
  <c r="C426" s="1"/>
  <c r="F421"/>
  <c r="E421"/>
  <c r="C421"/>
  <c r="F420"/>
  <c r="E420"/>
  <c r="D420"/>
  <c r="C420"/>
  <c r="C422" s="1"/>
  <c r="F418"/>
  <c r="E418"/>
  <c r="D418"/>
  <c r="C418"/>
  <c r="C417"/>
  <c r="F417"/>
  <c r="E417"/>
  <c r="F416"/>
  <c r="E416"/>
  <c r="D416"/>
  <c r="C416"/>
  <c r="F415"/>
  <c r="E415"/>
  <c r="D415"/>
  <c r="C415"/>
  <c r="F414"/>
  <c r="E414"/>
  <c r="D414"/>
  <c r="C414"/>
  <c r="F413"/>
  <c r="E413"/>
  <c r="D413"/>
  <c r="C413"/>
  <c r="F412"/>
  <c r="E412"/>
  <c r="D412"/>
  <c r="C412"/>
  <c r="F411"/>
  <c r="E411"/>
  <c r="D411"/>
  <c r="C411"/>
  <c r="F408"/>
  <c r="E408"/>
  <c r="C408"/>
  <c r="F407"/>
  <c r="E407"/>
  <c r="D407"/>
  <c r="C407"/>
  <c r="F406"/>
  <c r="E406"/>
  <c r="D406"/>
  <c r="C406"/>
  <c r="F405"/>
  <c r="E405"/>
  <c r="D405"/>
  <c r="C405"/>
  <c r="F404"/>
  <c r="E404"/>
  <c r="D404"/>
  <c r="C404"/>
  <c r="F403"/>
  <c r="E403"/>
  <c r="D403"/>
  <c r="C403"/>
  <c r="C409" s="1"/>
  <c r="F399"/>
  <c r="E399"/>
  <c r="D399"/>
  <c r="C399"/>
  <c r="F396"/>
  <c r="E396"/>
  <c r="D398"/>
  <c r="D400"/>
  <c r="D401"/>
  <c r="D402"/>
  <c r="D408"/>
  <c r="D410"/>
  <c r="D417"/>
  <c r="D421"/>
  <c r="D423"/>
  <c r="D426"/>
  <c r="D433"/>
  <c r="D441"/>
  <c r="D443" s="1"/>
  <c r="D444"/>
  <c r="D451"/>
  <c r="D455"/>
  <c r="D456"/>
  <c r="D457"/>
  <c r="D464"/>
  <c r="D465" s="1"/>
  <c r="D466"/>
  <c r="D472"/>
  <c r="D473" s="1"/>
  <c r="D474"/>
  <c r="D477"/>
  <c r="D478" s="1"/>
  <c r="D479"/>
  <c r="D482"/>
  <c r="D487"/>
  <c r="D489"/>
  <c r="D490"/>
  <c r="D491"/>
  <c r="D492"/>
  <c r="D497"/>
  <c r="D500" s="1"/>
  <c r="D501"/>
  <c r="D507"/>
  <c r="D508" s="1"/>
  <c r="D509"/>
  <c r="D511"/>
  <c r="D512"/>
  <c r="D513"/>
  <c r="D522"/>
  <c r="D530"/>
  <c r="D532" s="1"/>
  <c r="D545" s="1"/>
  <c r="D533"/>
  <c r="D538"/>
  <c r="F398"/>
  <c r="F400"/>
  <c r="F401"/>
  <c r="F402"/>
  <c r="F410"/>
  <c r="F423"/>
  <c r="F433"/>
  <c r="F440"/>
  <c r="F443" s="1"/>
  <c r="F452" s="1"/>
  <c r="F444"/>
  <c r="F455"/>
  <c r="F456"/>
  <c r="F457"/>
  <c r="F466"/>
  <c r="F474"/>
  <c r="F479"/>
  <c r="F487"/>
  <c r="F489"/>
  <c r="F490"/>
  <c r="F491"/>
  <c r="F492"/>
  <c r="F501"/>
  <c r="F509"/>
  <c r="F511"/>
  <c r="F512"/>
  <c r="F513"/>
  <c r="F522"/>
  <c r="E398"/>
  <c r="E400"/>
  <c r="E401"/>
  <c r="E402"/>
  <c r="E410"/>
  <c r="E423"/>
  <c r="E429"/>
  <c r="E433"/>
  <c r="E444"/>
  <c r="E455"/>
  <c r="E456"/>
  <c r="E457"/>
  <c r="E466"/>
  <c r="E474"/>
  <c r="E479"/>
  <c r="E487"/>
  <c r="E489"/>
  <c r="E490"/>
  <c r="E491"/>
  <c r="E492"/>
  <c r="E501"/>
  <c r="E509"/>
  <c r="E511"/>
  <c r="E512"/>
  <c r="E513"/>
  <c r="E522"/>
  <c r="E533"/>
  <c r="E538"/>
  <c r="D396"/>
  <c r="C396"/>
  <c r="F395"/>
  <c r="E395"/>
  <c r="D395"/>
  <c r="C395"/>
  <c r="F394"/>
  <c r="D394"/>
  <c r="C394"/>
  <c r="F392"/>
  <c r="E392"/>
  <c r="D392"/>
  <c r="C392"/>
  <c r="F391"/>
  <c r="E391"/>
  <c r="D391"/>
  <c r="C391"/>
  <c r="F390"/>
  <c r="F393" s="1"/>
  <c r="E390"/>
  <c r="E393" s="1"/>
  <c r="D390"/>
  <c r="D393" s="1"/>
  <c r="C390"/>
  <c r="C393" s="1"/>
  <c r="F387"/>
  <c r="E387"/>
  <c r="D387"/>
  <c r="C387"/>
  <c r="F386"/>
  <c r="E386"/>
  <c r="D386"/>
  <c r="C386"/>
  <c r="F385"/>
  <c r="E385"/>
  <c r="D385"/>
  <c r="C385"/>
  <c r="F384"/>
  <c r="F388" s="1"/>
  <c r="E384"/>
  <c r="E388" s="1"/>
  <c r="D384"/>
  <c r="D388" s="1"/>
  <c r="C384"/>
  <c r="C388" s="1"/>
  <c r="F376"/>
  <c r="E376"/>
  <c r="D376"/>
  <c r="C376"/>
  <c r="F375"/>
  <c r="E375"/>
  <c r="D375"/>
  <c r="C375"/>
  <c r="F374"/>
  <c r="E374"/>
  <c r="D374"/>
  <c r="C374"/>
  <c r="F372"/>
  <c r="E372"/>
  <c r="D372"/>
  <c r="C372"/>
  <c r="F371"/>
  <c r="F373" s="1"/>
  <c r="E371"/>
  <c r="E373" s="1"/>
  <c r="D371"/>
  <c r="C371"/>
  <c r="C373" s="1"/>
  <c r="F368"/>
  <c r="E368"/>
  <c r="D368"/>
  <c r="C368"/>
  <c r="F367"/>
  <c r="F369" s="1"/>
  <c r="E367"/>
  <c r="E369" s="1"/>
  <c r="D367"/>
  <c r="C367"/>
  <c r="C369" s="1"/>
  <c r="F351"/>
  <c r="E351"/>
  <c r="D351"/>
  <c r="C351"/>
  <c r="F365"/>
  <c r="E365"/>
  <c r="D365"/>
  <c r="C365"/>
  <c r="F362"/>
  <c r="E362"/>
  <c r="D362"/>
  <c r="C362"/>
  <c r="F361"/>
  <c r="E361"/>
  <c r="D361"/>
  <c r="C361"/>
  <c r="F360"/>
  <c r="E360"/>
  <c r="D360"/>
  <c r="C360"/>
  <c r="F359"/>
  <c r="E359"/>
  <c r="D359"/>
  <c r="C359"/>
  <c r="F358"/>
  <c r="E358"/>
  <c r="D358"/>
  <c r="C358"/>
  <c r="F357"/>
  <c r="E357"/>
  <c r="D357"/>
  <c r="C357"/>
  <c r="F356"/>
  <c r="E356"/>
  <c r="D356"/>
  <c r="C356"/>
  <c r="F355"/>
  <c r="F363" s="1"/>
  <c r="E355"/>
  <c r="E363" s="1"/>
  <c r="D355"/>
  <c r="D363" s="1"/>
  <c r="C355"/>
  <c r="C363" s="1"/>
  <c r="F339"/>
  <c r="E339"/>
  <c r="D339"/>
  <c r="C339"/>
  <c r="F419" l="1"/>
  <c r="E422"/>
  <c r="F486"/>
  <c r="F488" s="1"/>
  <c r="E486"/>
  <c r="E488" s="1"/>
  <c r="C488"/>
  <c r="D369"/>
  <c r="D377" s="1"/>
  <c r="D486"/>
  <c r="C397"/>
  <c r="D547"/>
  <c r="D397"/>
  <c r="F397"/>
  <c r="F409"/>
  <c r="D452"/>
  <c r="D409"/>
  <c r="E377"/>
  <c r="D419"/>
  <c r="F377"/>
  <c r="E409"/>
  <c r="E419"/>
  <c r="C419"/>
  <c r="C432" s="1"/>
  <c r="D422"/>
  <c r="F422"/>
  <c r="C377"/>
  <c r="F348"/>
  <c r="E348"/>
  <c r="D348"/>
  <c r="C348"/>
  <c r="F347"/>
  <c r="E347"/>
  <c r="D347"/>
  <c r="C347"/>
  <c r="F345"/>
  <c r="E345"/>
  <c r="D345"/>
  <c r="C345"/>
  <c r="F344"/>
  <c r="E344"/>
  <c r="D344"/>
  <c r="C344"/>
  <c r="F343"/>
  <c r="F346" s="1"/>
  <c r="E343"/>
  <c r="D343"/>
  <c r="C343"/>
  <c r="C346" s="1"/>
  <c r="F340"/>
  <c r="E340"/>
  <c r="D340"/>
  <c r="C340"/>
  <c r="D346" l="1"/>
  <c r="D488"/>
  <c r="C434"/>
  <c r="E346"/>
  <c r="F432"/>
  <c r="F434" s="1"/>
  <c r="E432"/>
  <c r="D432"/>
  <c r="D434" s="1"/>
  <c r="F338"/>
  <c r="E338"/>
  <c r="D338"/>
  <c r="C338"/>
  <c r="F337"/>
  <c r="E337"/>
  <c r="D337"/>
  <c r="C337"/>
  <c r="F336"/>
  <c r="E336"/>
  <c r="D336"/>
  <c r="C336"/>
  <c r="F335"/>
  <c r="E335"/>
  <c r="D335"/>
  <c r="C335"/>
  <c r="F334"/>
  <c r="E334"/>
  <c r="E341" s="1"/>
  <c r="D334"/>
  <c r="D341" s="1"/>
  <c r="C334"/>
  <c r="C341" s="1"/>
  <c r="C349" s="1"/>
  <c r="C379" s="1"/>
  <c r="D349" l="1"/>
  <c r="D379" s="1"/>
  <c r="F341"/>
  <c r="F349" s="1"/>
  <c r="F379" s="1"/>
  <c r="E349"/>
  <c r="E379" s="1"/>
  <c r="F303"/>
  <c r="E303"/>
  <c r="D303"/>
  <c r="C303"/>
  <c r="F327"/>
  <c r="E327"/>
  <c r="D327"/>
  <c r="C327"/>
  <c r="F326"/>
  <c r="E326"/>
  <c r="D326"/>
  <c r="C326"/>
  <c r="F324"/>
  <c r="E324"/>
  <c r="D324"/>
  <c r="C324"/>
  <c r="F323"/>
  <c r="F325" s="1"/>
  <c r="E323"/>
  <c r="E325" s="1"/>
  <c r="D323"/>
  <c r="C323"/>
  <c r="F321"/>
  <c r="E321"/>
  <c r="D321"/>
  <c r="C321"/>
  <c r="F319"/>
  <c r="E319"/>
  <c r="D319"/>
  <c r="C319"/>
  <c r="F318"/>
  <c r="E318"/>
  <c r="D318"/>
  <c r="C318"/>
  <c r="F317"/>
  <c r="E317"/>
  <c r="D317"/>
  <c r="C317"/>
  <c r="F316"/>
  <c r="E316"/>
  <c r="D316"/>
  <c r="C316"/>
  <c r="F315"/>
  <c r="E315"/>
  <c r="D315"/>
  <c r="C315"/>
  <c r="F314"/>
  <c r="E314"/>
  <c r="D314"/>
  <c r="C314"/>
  <c r="F313"/>
  <c r="F320" s="1"/>
  <c r="E313"/>
  <c r="E320" s="1"/>
  <c r="D313"/>
  <c r="D320" s="1"/>
  <c r="C313"/>
  <c r="C320" s="1"/>
  <c r="F310"/>
  <c r="E310"/>
  <c r="D310"/>
  <c r="C310"/>
  <c r="F309"/>
  <c r="E309"/>
  <c r="C309"/>
  <c r="F308"/>
  <c r="E308"/>
  <c r="D308"/>
  <c r="C308"/>
  <c r="F307"/>
  <c r="E307"/>
  <c r="D307"/>
  <c r="C307"/>
  <c r="F306"/>
  <c r="E306"/>
  <c r="D306"/>
  <c r="C306"/>
  <c r="F305"/>
  <c r="E305"/>
  <c r="D305"/>
  <c r="C305"/>
  <c r="F304"/>
  <c r="E304"/>
  <c r="D304"/>
  <c r="C304"/>
  <c r="F301"/>
  <c r="F302"/>
  <c r="F312"/>
  <c r="F322"/>
  <c r="F329"/>
  <c r="F342"/>
  <c r="F352"/>
  <c r="F353"/>
  <c r="F354"/>
  <c r="F364"/>
  <c r="F366"/>
  <c r="F370"/>
  <c r="F378"/>
  <c r="F389"/>
  <c r="E301"/>
  <c r="E302"/>
  <c r="E312"/>
  <c r="E322"/>
  <c r="E329"/>
  <c r="E342"/>
  <c r="E352"/>
  <c r="E353"/>
  <c r="E354"/>
  <c r="E364"/>
  <c r="E366"/>
  <c r="E370"/>
  <c r="E378"/>
  <c r="E389"/>
  <c r="E394"/>
  <c r="E397" s="1"/>
  <c r="E434" s="1"/>
  <c r="D301"/>
  <c r="D302"/>
  <c r="D309"/>
  <c r="D312"/>
  <c r="D322"/>
  <c r="D325" s="1"/>
  <c r="D329"/>
  <c r="D342"/>
  <c r="D352"/>
  <c r="D353"/>
  <c r="D354"/>
  <c r="D364"/>
  <c r="D366"/>
  <c r="D370"/>
  <c r="D373"/>
  <c r="D378"/>
  <c r="D389"/>
  <c r="C301"/>
  <c r="C302"/>
  <c r="C312"/>
  <c r="C322"/>
  <c r="C329"/>
  <c r="C342"/>
  <c r="C352"/>
  <c r="C353"/>
  <c r="C354"/>
  <c r="C364"/>
  <c r="C366"/>
  <c r="C370"/>
  <c r="C378"/>
  <c r="C389"/>
  <c r="C398"/>
  <c r="C400"/>
  <c r="C401"/>
  <c r="C402"/>
  <c r="C410"/>
  <c r="C423"/>
  <c r="C429"/>
  <c r="C433"/>
  <c r="C444"/>
  <c r="C455"/>
  <c r="C456"/>
  <c r="C457"/>
  <c r="C466"/>
  <c r="C474"/>
  <c r="C479"/>
  <c r="C487"/>
  <c r="C489"/>
  <c r="C490"/>
  <c r="C491"/>
  <c r="C492"/>
  <c r="C501"/>
  <c r="C509"/>
  <c r="C511"/>
  <c r="C512"/>
  <c r="C513"/>
  <c r="C522"/>
  <c r="C533"/>
  <c r="C538"/>
  <c r="F300"/>
  <c r="E300"/>
  <c r="D300"/>
  <c r="C300"/>
  <c r="F297"/>
  <c r="E297"/>
  <c r="D297"/>
  <c r="C297"/>
  <c r="F296"/>
  <c r="E296"/>
  <c r="D296"/>
  <c r="C296"/>
  <c r="F295"/>
  <c r="E295"/>
  <c r="D295"/>
  <c r="C295"/>
  <c r="E293"/>
  <c r="D293"/>
  <c r="C293"/>
  <c r="F292"/>
  <c r="E292"/>
  <c r="D292"/>
  <c r="C292"/>
  <c r="F291"/>
  <c r="E291"/>
  <c r="E294" s="1"/>
  <c r="D291"/>
  <c r="D294" s="1"/>
  <c r="C291"/>
  <c r="C294" s="1"/>
  <c r="E288"/>
  <c r="D288"/>
  <c r="C288"/>
  <c r="F287"/>
  <c r="E287"/>
  <c r="D287"/>
  <c r="C287"/>
  <c r="F286"/>
  <c r="E286"/>
  <c r="D286"/>
  <c r="C286"/>
  <c r="F285"/>
  <c r="E285"/>
  <c r="E289" s="1"/>
  <c r="D285"/>
  <c r="D289" s="1"/>
  <c r="C285"/>
  <c r="C289" s="1"/>
  <c r="F278"/>
  <c r="E278"/>
  <c r="D278"/>
  <c r="C278"/>
  <c r="F277"/>
  <c r="E277"/>
  <c r="D277"/>
  <c r="C277"/>
  <c r="E274"/>
  <c r="D274"/>
  <c r="C274"/>
  <c r="F273"/>
  <c r="E273"/>
  <c r="E275" s="1"/>
  <c r="D273"/>
  <c r="D275" s="1"/>
  <c r="C273"/>
  <c r="C275" s="1"/>
  <c r="F270"/>
  <c r="E270"/>
  <c r="D270"/>
  <c r="C270"/>
  <c r="F269"/>
  <c r="E269"/>
  <c r="D269"/>
  <c r="C269"/>
  <c r="F268"/>
  <c r="E268"/>
  <c r="D268"/>
  <c r="C268"/>
  <c r="F267"/>
  <c r="E267"/>
  <c r="D267"/>
  <c r="C267"/>
  <c r="E266"/>
  <c r="F266"/>
  <c r="D266"/>
  <c r="C266"/>
  <c r="F263"/>
  <c r="E263"/>
  <c r="C263"/>
  <c r="F262"/>
  <c r="E262"/>
  <c r="D262"/>
  <c r="C262"/>
  <c r="F261"/>
  <c r="E261"/>
  <c r="D261"/>
  <c r="C261"/>
  <c r="F260"/>
  <c r="E260"/>
  <c r="D260"/>
  <c r="C260"/>
  <c r="F259"/>
  <c r="E259"/>
  <c r="D259"/>
  <c r="C259"/>
  <c r="C264" s="1"/>
  <c r="F256"/>
  <c r="E256"/>
  <c r="D256"/>
  <c r="C256"/>
  <c r="F255"/>
  <c r="E255"/>
  <c r="D255"/>
  <c r="C255"/>
  <c r="F254"/>
  <c r="E254"/>
  <c r="D254"/>
  <c r="C254"/>
  <c r="F253"/>
  <c r="E253"/>
  <c r="D253"/>
  <c r="C253"/>
  <c r="F252"/>
  <c r="E252"/>
  <c r="D252"/>
  <c r="C252"/>
  <c r="F251"/>
  <c r="E251"/>
  <c r="E257" s="1"/>
  <c r="D251"/>
  <c r="D257" s="1"/>
  <c r="C251"/>
  <c r="C257" s="1"/>
  <c r="F247"/>
  <c r="E247"/>
  <c r="D247"/>
  <c r="C247"/>
  <c r="F243"/>
  <c r="E243"/>
  <c r="D243"/>
  <c r="C243"/>
  <c r="F242"/>
  <c r="E242"/>
  <c r="D242"/>
  <c r="C242"/>
  <c r="E240"/>
  <c r="D240"/>
  <c r="C240"/>
  <c r="F239"/>
  <c r="E239"/>
  <c r="D239"/>
  <c r="C239"/>
  <c r="F238"/>
  <c r="E238"/>
  <c r="E241" s="1"/>
  <c r="D238"/>
  <c r="D241" s="1"/>
  <c r="C238"/>
  <c r="C241" s="1"/>
  <c r="F236"/>
  <c r="E236"/>
  <c r="D236"/>
  <c r="C236"/>
  <c r="F234"/>
  <c r="E234"/>
  <c r="D234"/>
  <c r="C234"/>
  <c r="F233"/>
  <c r="E233"/>
  <c r="D233"/>
  <c r="C233"/>
  <c r="F232"/>
  <c r="F235" s="1"/>
  <c r="E232"/>
  <c r="E235" s="1"/>
  <c r="D232"/>
  <c r="D235" s="1"/>
  <c r="C232"/>
  <c r="F257" l="1"/>
  <c r="C298"/>
  <c r="C311"/>
  <c r="F264"/>
  <c r="C325"/>
  <c r="D311"/>
  <c r="D328" s="1"/>
  <c r="E311"/>
  <c r="F311"/>
  <c r="E328"/>
  <c r="F328"/>
  <c r="D298"/>
  <c r="E264"/>
  <c r="E271"/>
  <c r="E298"/>
  <c r="D244"/>
  <c r="E244"/>
  <c r="C271"/>
  <c r="C279" s="1"/>
  <c r="D271"/>
  <c r="F271"/>
  <c r="C235"/>
  <c r="C244" s="1"/>
  <c r="F225"/>
  <c r="E225"/>
  <c r="D225"/>
  <c r="C225"/>
  <c r="F224"/>
  <c r="F226" s="1"/>
  <c r="E224"/>
  <c r="E226" s="1"/>
  <c r="D224"/>
  <c r="D226" s="1"/>
  <c r="C224"/>
  <c r="C226" s="1"/>
  <c r="F221"/>
  <c r="E221"/>
  <c r="D221"/>
  <c r="C221"/>
  <c r="F220"/>
  <c r="F222" s="1"/>
  <c r="E220"/>
  <c r="E222" s="1"/>
  <c r="D220"/>
  <c r="D222" s="1"/>
  <c r="C220"/>
  <c r="C222" s="1"/>
  <c r="E218"/>
  <c r="D218"/>
  <c r="C218"/>
  <c r="F217"/>
  <c r="E217"/>
  <c r="E219" s="1"/>
  <c r="D217"/>
  <c r="C217"/>
  <c r="C219" s="1"/>
  <c r="F214"/>
  <c r="E214"/>
  <c r="D214"/>
  <c r="C214"/>
  <c r="F213"/>
  <c r="E213"/>
  <c r="D213"/>
  <c r="C213"/>
  <c r="F212"/>
  <c r="E212"/>
  <c r="D212"/>
  <c r="C212"/>
  <c r="F211"/>
  <c r="E211"/>
  <c r="D211"/>
  <c r="C211"/>
  <c r="F210"/>
  <c r="E210"/>
  <c r="D210"/>
  <c r="C210"/>
  <c r="F209"/>
  <c r="E209"/>
  <c r="D209"/>
  <c r="C209"/>
  <c r="F206"/>
  <c r="E206"/>
  <c r="D206"/>
  <c r="C206"/>
  <c r="F205"/>
  <c r="E205"/>
  <c r="D205"/>
  <c r="C205"/>
  <c r="F204"/>
  <c r="E204"/>
  <c r="D204"/>
  <c r="C204"/>
  <c r="F203"/>
  <c r="E203"/>
  <c r="D203"/>
  <c r="C203"/>
  <c r="F202"/>
  <c r="E202"/>
  <c r="D202"/>
  <c r="C202"/>
  <c r="F201"/>
  <c r="E201"/>
  <c r="D201"/>
  <c r="C201"/>
  <c r="F200"/>
  <c r="E200"/>
  <c r="D200"/>
  <c r="C200"/>
  <c r="F199"/>
  <c r="E199"/>
  <c r="D199"/>
  <c r="C199"/>
  <c r="F193"/>
  <c r="E193"/>
  <c r="D193"/>
  <c r="C193"/>
  <c r="F192"/>
  <c r="E192"/>
  <c r="D192"/>
  <c r="C192"/>
  <c r="F191"/>
  <c r="F194" s="1"/>
  <c r="E191"/>
  <c r="E194" s="1"/>
  <c r="D191"/>
  <c r="D194" s="1"/>
  <c r="C191"/>
  <c r="C194" s="1"/>
  <c r="F189"/>
  <c r="E189"/>
  <c r="C189"/>
  <c r="E188"/>
  <c r="E190" s="1"/>
  <c r="D189"/>
  <c r="C188"/>
  <c r="F187"/>
  <c r="E187"/>
  <c r="D187"/>
  <c r="D188"/>
  <c r="C187"/>
  <c r="E182"/>
  <c r="E183"/>
  <c r="E184"/>
  <c r="E196"/>
  <c r="E223"/>
  <c r="E237"/>
  <c r="E245"/>
  <c r="E246"/>
  <c r="E248"/>
  <c r="E249"/>
  <c r="E250"/>
  <c r="E258"/>
  <c r="E265"/>
  <c r="E272"/>
  <c r="E276"/>
  <c r="E290"/>
  <c r="E299"/>
  <c r="E181"/>
  <c r="F184"/>
  <c r="D184"/>
  <c r="C184"/>
  <c r="D183"/>
  <c r="C183"/>
  <c r="F182"/>
  <c r="D182"/>
  <c r="C182"/>
  <c r="F181"/>
  <c r="D181"/>
  <c r="C181"/>
  <c r="F172"/>
  <c r="E172"/>
  <c r="D172"/>
  <c r="C172"/>
  <c r="F171"/>
  <c r="E171"/>
  <c r="D171"/>
  <c r="C171"/>
  <c r="F170"/>
  <c r="F173" s="1"/>
  <c r="E170"/>
  <c r="E173" s="1"/>
  <c r="D170"/>
  <c r="D173" s="1"/>
  <c r="C170"/>
  <c r="C173" s="1"/>
  <c r="F167"/>
  <c r="E167"/>
  <c r="D167"/>
  <c r="C167"/>
  <c r="F166"/>
  <c r="F168" s="1"/>
  <c r="E166"/>
  <c r="E168" s="1"/>
  <c r="D166"/>
  <c r="D168" s="1"/>
  <c r="C166"/>
  <c r="C168" s="1"/>
  <c r="E164"/>
  <c r="D164"/>
  <c r="C164"/>
  <c r="F163"/>
  <c r="D163"/>
  <c r="C163"/>
  <c r="F160"/>
  <c r="E160"/>
  <c r="D160"/>
  <c r="C160"/>
  <c r="F159"/>
  <c r="E159"/>
  <c r="D159"/>
  <c r="C159"/>
  <c r="F158"/>
  <c r="F161" s="1"/>
  <c r="E158"/>
  <c r="E161" s="1"/>
  <c r="D158"/>
  <c r="D161" s="1"/>
  <c r="C158"/>
  <c r="C161" s="1"/>
  <c r="F155"/>
  <c r="E155"/>
  <c r="D155"/>
  <c r="C155"/>
  <c r="F154"/>
  <c r="E154"/>
  <c r="D154"/>
  <c r="C154"/>
  <c r="F153"/>
  <c r="E153"/>
  <c r="D153"/>
  <c r="C153"/>
  <c r="F152"/>
  <c r="E152"/>
  <c r="D152"/>
  <c r="C152"/>
  <c r="F151"/>
  <c r="F156" s="1"/>
  <c r="E151"/>
  <c r="E156" s="1"/>
  <c r="D151"/>
  <c r="D156" s="1"/>
  <c r="C151"/>
  <c r="C156" s="1"/>
  <c r="F148"/>
  <c r="E148"/>
  <c r="D148"/>
  <c r="C148"/>
  <c r="F147"/>
  <c r="E147"/>
  <c r="D147"/>
  <c r="C147"/>
  <c r="E146"/>
  <c r="D146"/>
  <c r="C146"/>
  <c r="F145"/>
  <c r="E145"/>
  <c r="D145"/>
  <c r="C145"/>
  <c r="F144"/>
  <c r="E144"/>
  <c r="D144"/>
  <c r="C144"/>
  <c r="F143"/>
  <c r="E143"/>
  <c r="D143"/>
  <c r="C143"/>
  <c r="F142"/>
  <c r="E142"/>
  <c r="D142"/>
  <c r="C142"/>
  <c r="D134"/>
  <c r="C134"/>
  <c r="F133"/>
  <c r="E133"/>
  <c r="D133"/>
  <c r="C133"/>
  <c r="C132"/>
  <c r="F125"/>
  <c r="F122"/>
  <c r="F121"/>
  <c r="D129"/>
  <c r="D132"/>
  <c r="D136"/>
  <c r="D137"/>
  <c r="D196"/>
  <c r="D219"/>
  <c r="D223"/>
  <c r="D237"/>
  <c r="D245"/>
  <c r="D246"/>
  <c r="D248"/>
  <c r="D249"/>
  <c r="D250"/>
  <c r="D258"/>
  <c r="D263"/>
  <c r="D264" s="1"/>
  <c r="D279" s="1"/>
  <c r="D280" s="1"/>
  <c r="D265"/>
  <c r="D272"/>
  <c r="D276"/>
  <c r="D290"/>
  <c r="D299"/>
  <c r="C129"/>
  <c r="C136"/>
  <c r="C137"/>
  <c r="C196"/>
  <c r="C223"/>
  <c r="C237"/>
  <c r="C245"/>
  <c r="C246"/>
  <c r="C248"/>
  <c r="C249"/>
  <c r="C250"/>
  <c r="C258"/>
  <c r="C265"/>
  <c r="C272"/>
  <c r="C276"/>
  <c r="C290"/>
  <c r="C299"/>
  <c r="F132"/>
  <c r="F134"/>
  <c r="F136"/>
  <c r="F137"/>
  <c r="F146"/>
  <c r="F164"/>
  <c r="F165" s="1"/>
  <c r="F183"/>
  <c r="F188"/>
  <c r="F190" s="1"/>
  <c r="F196"/>
  <c r="F218"/>
  <c r="F223"/>
  <c r="F237"/>
  <c r="F240"/>
  <c r="F241" s="1"/>
  <c r="F244" s="1"/>
  <c r="F245"/>
  <c r="F246"/>
  <c r="F248"/>
  <c r="F249"/>
  <c r="F250"/>
  <c r="F258"/>
  <c r="F265"/>
  <c r="F272"/>
  <c r="F274"/>
  <c r="F275" s="1"/>
  <c r="F279" s="1"/>
  <c r="F276"/>
  <c r="F288"/>
  <c r="F289" s="1"/>
  <c r="F290"/>
  <c r="F293"/>
  <c r="F294" s="1"/>
  <c r="F299"/>
  <c r="F129"/>
  <c r="E132"/>
  <c r="E134"/>
  <c r="E136"/>
  <c r="E137"/>
  <c r="E163"/>
  <c r="E129"/>
  <c r="E121"/>
  <c r="D121"/>
  <c r="C121"/>
  <c r="D135" l="1"/>
  <c r="E165"/>
  <c r="E330"/>
  <c r="E279"/>
  <c r="E280" s="1"/>
  <c r="F280"/>
  <c r="C328"/>
  <c r="C330" s="1"/>
  <c r="D330"/>
  <c r="F298"/>
  <c r="F330" s="1"/>
  <c r="F149"/>
  <c r="F174" s="1"/>
  <c r="F135"/>
  <c r="C165"/>
  <c r="C174" s="1"/>
  <c r="C190"/>
  <c r="D190"/>
  <c r="C280"/>
  <c r="F185"/>
  <c r="F195" s="1"/>
  <c r="E135"/>
  <c r="F219"/>
  <c r="C135"/>
  <c r="C149"/>
  <c r="E149"/>
  <c r="D149"/>
  <c r="D174" s="1"/>
  <c r="D165"/>
  <c r="D185"/>
  <c r="D195" s="1"/>
  <c r="C185"/>
  <c r="C195" s="1"/>
  <c r="E185"/>
  <c r="E195" s="1"/>
  <c r="E174"/>
  <c r="C207"/>
  <c r="E207"/>
  <c r="C215"/>
  <c r="E215"/>
  <c r="D207"/>
  <c r="F207"/>
  <c r="D215"/>
  <c r="F215"/>
  <c r="F227" s="1"/>
  <c r="F128"/>
  <c r="E128"/>
  <c r="D128"/>
  <c r="C128"/>
  <c r="F127"/>
  <c r="D127"/>
  <c r="F126"/>
  <c r="E126"/>
  <c r="D126"/>
  <c r="C126"/>
  <c r="E125"/>
  <c r="D125"/>
  <c r="C125"/>
  <c r="F124"/>
  <c r="E124"/>
  <c r="D124"/>
  <c r="C124"/>
  <c r="F123"/>
  <c r="E123"/>
  <c r="D123"/>
  <c r="C123"/>
  <c r="E122"/>
  <c r="D122"/>
  <c r="C122"/>
  <c r="E227" l="1"/>
  <c r="F229"/>
  <c r="D227"/>
  <c r="D130"/>
  <c r="D138" s="1"/>
  <c r="F130"/>
  <c r="F138" s="1"/>
  <c r="C227"/>
  <c r="F112"/>
  <c r="E112"/>
  <c r="D112"/>
  <c r="C112"/>
  <c r="F113"/>
  <c r="E127"/>
  <c r="E130" s="1"/>
  <c r="E138" s="1"/>
  <c r="E113"/>
  <c r="D113"/>
  <c r="C127"/>
  <c r="C130" s="1"/>
  <c r="C138" s="1"/>
  <c r="C113"/>
  <c r="F114" l="1"/>
  <c r="F111"/>
  <c r="E111"/>
  <c r="E114" s="1"/>
  <c r="D111"/>
  <c r="D114" s="1"/>
  <c r="D109" s="1"/>
  <c r="C111"/>
  <c r="C114" s="1"/>
  <c r="F108"/>
  <c r="E108"/>
  <c r="D108"/>
  <c r="D107" s="1"/>
  <c r="C108"/>
  <c r="F107"/>
  <c r="F109" s="1"/>
  <c r="E107"/>
  <c r="E109" s="1"/>
  <c r="C107"/>
  <c r="F104"/>
  <c r="E104"/>
  <c r="D104"/>
  <c r="C104"/>
  <c r="F103"/>
  <c r="E103"/>
  <c r="D103"/>
  <c r="C103"/>
  <c r="F102"/>
  <c r="F105" s="1"/>
  <c r="E102"/>
  <c r="E105" s="1"/>
  <c r="D102"/>
  <c r="D105" s="1"/>
  <c r="C102"/>
  <c r="C105" s="1"/>
  <c r="F99"/>
  <c r="E99"/>
  <c r="D99"/>
  <c r="C101"/>
  <c r="C106"/>
  <c r="C99"/>
  <c r="F98"/>
  <c r="F100" s="1"/>
  <c r="E98"/>
  <c r="E100" s="1"/>
  <c r="D98"/>
  <c r="D100" s="1"/>
  <c r="C98"/>
  <c r="C100" s="1"/>
  <c r="F95"/>
  <c r="E95"/>
  <c r="D95"/>
  <c r="C95"/>
  <c r="F94"/>
  <c r="E94"/>
  <c r="D94"/>
  <c r="C94"/>
  <c r="F93"/>
  <c r="E93"/>
  <c r="E96" s="1"/>
  <c r="D93"/>
  <c r="C93"/>
  <c r="D92"/>
  <c r="F92"/>
  <c r="E92"/>
  <c r="C92"/>
  <c r="C96" s="1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E90" s="1"/>
  <c r="D82"/>
  <c r="C82"/>
  <c r="F81"/>
  <c r="F90" s="1"/>
  <c r="E81"/>
  <c r="D81"/>
  <c r="D90" s="1"/>
  <c r="C81"/>
  <c r="C90" s="1"/>
  <c r="C76"/>
  <c r="F76"/>
  <c r="E76"/>
  <c r="D76"/>
  <c r="F74"/>
  <c r="E74"/>
  <c r="D74"/>
  <c r="C74"/>
  <c r="F72"/>
  <c r="E72"/>
  <c r="D72"/>
  <c r="C72"/>
  <c r="F70"/>
  <c r="E70"/>
  <c r="D70"/>
  <c r="C70"/>
  <c r="F69"/>
  <c r="E69"/>
  <c r="D69"/>
  <c r="C69"/>
  <c r="F68"/>
  <c r="E68"/>
  <c r="D68"/>
  <c r="D71" s="1"/>
  <c r="C68"/>
  <c r="F96" l="1"/>
  <c r="C115"/>
  <c r="E115"/>
  <c r="C109"/>
  <c r="F115"/>
  <c r="E71"/>
  <c r="F71"/>
  <c r="D96"/>
  <c r="D115" s="1"/>
  <c r="F67"/>
  <c r="F77"/>
  <c r="F75"/>
  <c r="F101"/>
  <c r="F106"/>
  <c r="F65"/>
  <c r="E65"/>
  <c r="D65"/>
  <c r="C65"/>
  <c r="F64"/>
  <c r="E67"/>
  <c r="E77"/>
  <c r="E75"/>
  <c r="E101"/>
  <c r="E106"/>
  <c r="E64"/>
  <c r="D64"/>
  <c r="C64"/>
  <c r="F63"/>
  <c r="E63"/>
  <c r="D63"/>
  <c r="C63"/>
  <c r="F62"/>
  <c r="E62"/>
  <c r="D62"/>
  <c r="C62"/>
  <c r="C66" s="1"/>
  <c r="F54"/>
  <c r="E54"/>
  <c r="D54"/>
  <c r="F52"/>
  <c r="E52"/>
  <c r="D52"/>
  <c r="C52"/>
  <c r="F51"/>
  <c r="F53" s="1"/>
  <c r="E51"/>
  <c r="E53" s="1"/>
  <c r="D51"/>
  <c r="D53" s="1"/>
  <c r="C51"/>
  <c r="C53" s="1"/>
  <c r="F49"/>
  <c r="E49"/>
  <c r="D49"/>
  <c r="C49"/>
  <c r="F48"/>
  <c r="F50" s="1"/>
  <c r="E48"/>
  <c r="E50" s="1"/>
  <c r="D48"/>
  <c r="C48"/>
  <c r="C50" s="1"/>
  <c r="F45"/>
  <c r="E45"/>
  <c r="D45"/>
  <c r="C45"/>
  <c r="D50"/>
  <c r="D67"/>
  <c r="D77"/>
  <c r="D75"/>
  <c r="D101"/>
  <c r="D106"/>
  <c r="F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C46" s="1"/>
  <c r="F36"/>
  <c r="E36"/>
  <c r="D36"/>
  <c r="C36"/>
  <c r="F35"/>
  <c r="E35"/>
  <c r="D35"/>
  <c r="C35"/>
  <c r="F34"/>
  <c r="E34"/>
  <c r="D34"/>
  <c r="C34"/>
  <c r="F33"/>
  <c r="F37" s="1"/>
  <c r="E33"/>
  <c r="E37" s="1"/>
  <c r="D33"/>
  <c r="D37" s="1"/>
  <c r="C33"/>
  <c r="D66" l="1"/>
  <c r="D116" s="1"/>
  <c r="F66"/>
  <c r="F116"/>
  <c r="E66"/>
  <c r="C37"/>
  <c r="F46"/>
  <c r="F29"/>
  <c r="E29"/>
  <c r="D29"/>
  <c r="C29"/>
  <c r="F28"/>
  <c r="E28"/>
  <c r="D28"/>
  <c r="C28"/>
  <c r="E27"/>
  <c r="F27"/>
  <c r="D27"/>
  <c r="C27"/>
  <c r="F26"/>
  <c r="E26"/>
  <c r="D26"/>
  <c r="C26"/>
  <c r="F25"/>
  <c r="E25"/>
  <c r="D25"/>
  <c r="C25"/>
  <c r="F18"/>
  <c r="E18"/>
  <c r="D18"/>
  <c r="C18"/>
  <c r="F16"/>
  <c r="E16"/>
  <c r="D16"/>
  <c r="C16"/>
  <c r="F14"/>
  <c r="E14"/>
  <c r="D14"/>
  <c r="C14"/>
  <c r="F12"/>
  <c r="E12"/>
  <c r="D12"/>
  <c r="C12"/>
  <c r="C31" l="1"/>
  <c r="C55" s="1"/>
  <c r="F8"/>
  <c r="E8"/>
  <c r="D8"/>
  <c r="C8"/>
  <c r="F7"/>
  <c r="E7"/>
  <c r="D7"/>
  <c r="C7"/>
  <c r="F6"/>
  <c r="E6"/>
  <c r="D6"/>
  <c r="C6"/>
  <c r="F15"/>
  <c r="F17"/>
  <c r="F20"/>
  <c r="F24"/>
  <c r="F30"/>
  <c r="F31" s="1"/>
  <c r="F55" s="1"/>
  <c r="E15"/>
  <c r="E17"/>
  <c r="E20"/>
  <c r="E24"/>
  <c r="E30"/>
  <c r="E31" s="1"/>
  <c r="E44"/>
  <c r="E46" s="1"/>
  <c r="D15"/>
  <c r="D17"/>
  <c r="D20"/>
  <c r="D24"/>
  <c r="D30"/>
  <c r="D31" s="1"/>
  <c r="D44"/>
  <c r="D46" s="1"/>
  <c r="C15"/>
  <c r="C17"/>
  <c r="C20"/>
  <c r="C24"/>
  <c r="C30"/>
  <c r="C67"/>
  <c r="C71" s="1"/>
  <c r="C75"/>
  <c r="F5"/>
  <c r="E5"/>
  <c r="E9" s="1"/>
  <c r="D5"/>
  <c r="C5"/>
  <c r="C9" s="1"/>
  <c r="D9" l="1"/>
  <c r="F9"/>
  <c r="F19" s="1"/>
  <c r="F57" s="1"/>
  <c r="E55"/>
  <c r="D55"/>
  <c r="C77"/>
  <c r="C19"/>
  <c r="C57" s="1"/>
  <c r="E19"/>
  <c r="D19"/>
  <c r="D57" l="1"/>
</calcChain>
</file>

<file path=xl/comments1.xml><?xml version="1.0" encoding="utf-8"?>
<comments xmlns="http://schemas.openxmlformats.org/spreadsheetml/2006/main">
  <authors>
    <author>Сказка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<sst xmlns="http://schemas.openxmlformats.org/spreadsheetml/2006/main" count="1332" uniqueCount="363">
  <si>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</si>
  <si>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</si>
  <si>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</si>
  <si>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</si>
  <si>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</si>
  <si>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</si>
  <si>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</si>
  <si>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</si>
  <si>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</si>
  <si>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</si>
  <si>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</si>
  <si>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</si>
  <si>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</si>
  <si>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</si>
  <si>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</si>
  <si>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</si>
  <si>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</si>
  <si>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</si>
  <si>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</si>
  <si>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</si>
  <si>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</si>
  <si>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</si>
  <si>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</si>
  <si>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</si>
  <si>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</si>
  <si>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</si>
  <si>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</si>
  <si>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</si>
  <si>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</si>
  <si>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</si>
  <si>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</si>
  <si>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</si>
  <si>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</si>
  <si>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</si>
  <si>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</si>
  <si>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</si>
  <si>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</si>
  <si>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</si>
  <si>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</si>
  <si>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</si>
  <si>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</si>
  <si>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</si>
  <si>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</si>
  <si>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</si>
  <si>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</si>
  <si>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</si>
  <si>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</si>
  <si>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</si>
  <si>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</si>
  <si>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</si>
  <si>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</si>
  <si>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</si>
  <si>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</si>
  <si>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</si>
  <si>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</si>
  <si>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</si>
  <si>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</si>
  <si>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</si>
  <si>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</si>
  <si>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</si>
  <si>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</si>
  <si>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</si>
  <si>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</si>
  <si>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</si>
  <si>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</si>
  <si>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</si>
  <si>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</si>
  <si>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</si>
  <si>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</si>
  <si>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</si>
  <si>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</si>
  <si>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</si>
  <si>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</si>
  <si>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</si>
  <si>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</si>
  <si>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</si>
  <si>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</si>
  <si>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</si>
  <si>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</si>
  <si>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</si>
  <si>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</si>
  <si>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</si>
  <si>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</si>
  <si>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</si>
  <si>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</si>
  <si>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</si>
  <si>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</si>
  <si>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</si>
  <si>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</si>
  <si>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</si>
  <si>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</si>
  <si>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</si>
  <si>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</si>
  <si>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</si>
  <si>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</si>
  <si>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</si>
  <si>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</si>
  <si>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</si>
  <si>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</si>
  <si>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</si>
  <si>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</si>
  <si>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</si>
  <si>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</si>
  <si>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</si>
  <si>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</si>
  <si>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</si>
  <si>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1 - 4 класс                   1 неделя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</si>
  <si>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</si>
  <si>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</si>
  <si>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</si>
  <si>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</si>
  <si>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</si>
  <si>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</si>
  <si>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</si>
  <si>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</si>
  <si>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</si>
  <si>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</si>
  <si>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</si>
  <si>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</si>
  <si>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</si>
  <si>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</si>
  <si>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</si>
  <si>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</si>
  <si>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</si>
  <si>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</si>
  <si>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</si>
  <si>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</si>
  <si>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</si>
  <si>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</si>
  <si>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</si>
  <si>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</si>
  <si>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</si>
  <si>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</si>
  <si>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</si>
  <si>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</si>
  <si>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</si>
  <si>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</si>
  <si>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</si>
  <si>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</si>
  <si>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</si>
  <si>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</si>
  <si>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</si>
  <si>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</si>
  <si>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</si>
  <si>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</si>
  <si>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</si>
  <si>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</si>
  <si>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</si>
  <si>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</si>
  <si>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</si>
  <si>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</si>
  <si>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</si>
  <si>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</si>
  <si>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</si>
  <si>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</si>
  <si>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</si>
  <si>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</si>
  <si>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</si>
  <si>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</si>
  <si>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</si>
  <si>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</si>
  <si>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</si>
  <si>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</si>
  <si>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</si>
  <si>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</si>
  <si>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</si>
  <si>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</si>
  <si>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</si>
  <si>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</si>
  <si>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</si>
  <si>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</si>
  <si>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</si>
  <si>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</si>
  <si>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</si>
  <si>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</si>
  <si>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</si>
  <si>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</si>
  <si>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</si>
  <si>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</si>
  <si>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</si>
  <si>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</si>
  <si>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</si>
  <si>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</si>
  <si>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</si>
  <si>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</si>
  <si>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</si>
  <si>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</si>
  <si>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</si>
  <si>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</si>
  <si>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</si>
  <si>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</si>
  <si>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</si>
  <si>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</si>
  <si>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Плов с говядиной: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</si>
  <si>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</si>
  <si>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</si>
  <si>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</si>
  <si>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</si>
  <si>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</si>
  <si>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</si>
  <si>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</si>
  <si>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</si>
  <si>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</si>
  <si>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</si>
  <si>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</si>
  <si>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</si>
  <si>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</si>
  <si>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</si>
  <si>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</si>
  <si>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</si>
  <si>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</si>
  <si>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</si>
  <si>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</si>
  <si>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</si>
  <si>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</si>
  <si>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</si>
  <si>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</si>
  <si>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</si>
  <si>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</si>
  <si>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</si>
  <si>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</si>
  <si>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</si>
  <si>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Компот из кураги:</t>
  </si>
  <si>
    <t>Курага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</si>
  <si>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</si>
  <si>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</si>
  <si>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</si>
  <si>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</si>
  <si>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</si>
  <si>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</si>
  <si>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</si>
  <si>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</si>
  <si>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Суп рыбный:</t>
  </si>
  <si>
    <t>Рыба свежая (теска , хек, минтай)</t>
  </si>
  <si>
    <t>Сухофрукты ( яблоко сушеное)</t>
  </si>
  <si>
    <t>№33</t>
  </si>
  <si>
    <t>№34</t>
  </si>
  <si>
    <t>№35</t>
  </si>
  <si>
    <t>№36</t>
  </si>
  <si>
    <t>№37</t>
  </si>
  <si>
    <t>№39</t>
  </si>
  <si>
    <t>№40</t>
  </si>
  <si>
    <t>№41</t>
  </si>
  <si>
    <t>№42</t>
  </si>
  <si>
    <t>Лимонный напиток:</t>
  </si>
  <si>
    <t>Лимонный свежий</t>
  </si>
  <si>
    <t>№44</t>
  </si>
  <si>
    <t>№46</t>
  </si>
  <si>
    <t>№48</t>
  </si>
  <si>
    <t>8 День</t>
  </si>
  <si>
    <t>№50</t>
  </si>
  <si>
    <t>№51</t>
  </si>
  <si>
    <t>№52</t>
  </si>
  <si>
    <t>№53</t>
  </si>
  <si>
    <t>Сок фруктовый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</si>
  <si>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</si>
  <si>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</si>
  <si>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</si>
  <si>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</si>
  <si>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</si>
  <si>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</si>
  <si>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</si>
  <si>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</si>
  <si>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</si>
  <si>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Огурец свежий</t>
  </si>
  <si>
    <t>Курица</t>
  </si>
  <si>
    <t>Суп вермишелевый с курицей:</t>
  </si>
  <si>
    <t>Суфле из печени с овощным соусом:</t>
  </si>
  <si>
    <t>Граммы</t>
  </si>
  <si>
    <t>Б</t>
  </si>
  <si>
    <t>Ж</t>
  </si>
  <si>
    <t>У</t>
  </si>
  <si>
    <t>Ккал.</t>
  </si>
  <si>
    <t>Выход порции</t>
  </si>
  <si>
    <t>№46а</t>
  </si>
  <si>
    <t>2 Завтрак: Яблоко</t>
  </si>
  <si>
    <t>Полдник:</t>
  </si>
  <si>
    <t>Кофе с молоком:</t>
  </si>
  <si>
    <t>Плюшка сдобная:</t>
  </si>
  <si>
    <t>Дрожжи</t>
  </si>
  <si>
    <t>Итого за день:</t>
  </si>
  <si>
    <t xml:space="preserve">День 1 </t>
  </si>
  <si>
    <t>Итого полдник:</t>
  </si>
  <si>
    <t>№64</t>
  </si>
  <si>
    <t>День 2</t>
  </si>
  <si>
    <t>День 4</t>
  </si>
  <si>
    <t>№65</t>
  </si>
  <si>
    <t>Каша кукурузная  молочная жидкая:</t>
  </si>
  <si>
    <t>№66</t>
  </si>
  <si>
    <t>№67</t>
  </si>
  <si>
    <t>Булочка с изюмом:</t>
  </si>
  <si>
    <t>Изюм</t>
  </si>
  <si>
    <t>День 3</t>
  </si>
  <si>
    <t>День 5</t>
  </si>
  <si>
    <t>№68</t>
  </si>
  <si>
    <t>Каша пшеничная  молочная жидкая:</t>
  </si>
  <si>
    <t>День 6</t>
  </si>
  <si>
    <t>Тефтели мясные запеченые с овощным соусом:</t>
  </si>
  <si>
    <t>День 7</t>
  </si>
  <si>
    <t>Творожная запеканка с изюмом с повидлом:</t>
  </si>
  <si>
    <t>№69</t>
  </si>
  <si>
    <t>Рыба запеченая в молочном соусе:</t>
  </si>
  <si>
    <t>Каша рисовая  молочная:</t>
  </si>
  <si>
    <t>Котлета рыбная</t>
  </si>
  <si>
    <t>Рыба (треска, хек, минтай)</t>
  </si>
  <si>
    <t>№70</t>
  </si>
  <si>
    <t>Картофель тушеный :</t>
  </si>
  <si>
    <t>№71</t>
  </si>
  <si>
    <t>№72</t>
  </si>
  <si>
    <t>Крупа ячневая</t>
  </si>
  <si>
    <t>Чай с сахаром</t>
  </si>
  <si>
    <t>Пирожок с капустой и яйцом</t>
  </si>
  <si>
    <t>Капуста</t>
  </si>
  <si>
    <t>№73</t>
  </si>
  <si>
    <t>Каша ячневая молочная:</t>
  </si>
  <si>
    <t>День 8</t>
  </si>
  <si>
    <t>Кофейный напиток с молоком</t>
  </si>
  <si>
    <t>№74</t>
  </si>
  <si>
    <t>День 9</t>
  </si>
  <si>
    <t>Печенье</t>
  </si>
  <si>
    <t>150/20</t>
  </si>
  <si>
    <t>55/20</t>
  </si>
  <si>
    <t>Крупа рисовая</t>
  </si>
  <si>
    <t>Помидор  свежий:</t>
  </si>
  <si>
    <t>Помидор свежий:</t>
  </si>
  <si>
    <t>Помидор свежий</t>
  </si>
  <si>
    <t>Салат из помидор и огурцов:</t>
  </si>
  <si>
    <t>Мсасло растительное</t>
  </si>
  <si>
    <t>Салат из редиса с зеленым луком:</t>
  </si>
  <si>
    <t>Редис</t>
  </si>
  <si>
    <t>Лук зеленый</t>
  </si>
  <si>
    <t>60/20</t>
  </si>
  <si>
    <t>40/20</t>
  </si>
  <si>
    <t>Салат "Летний":</t>
  </si>
  <si>
    <t>Салат из свежих огурцов с редисом и зеленым луком:</t>
  </si>
  <si>
    <t>Редис свежий</t>
  </si>
  <si>
    <t>Салат из свежей капусты с огурцом:</t>
  </si>
  <si>
    <t>2 Завтрак: Нектарин</t>
  </si>
  <si>
    <t>Вафли</t>
  </si>
  <si>
    <t>150/12</t>
  </si>
  <si>
    <t>160/12</t>
  </si>
  <si>
    <t>30/30</t>
  </si>
  <si>
    <t>№43</t>
  </si>
  <si>
    <t>Салат картофельный с растительным маслом:</t>
  </si>
  <si>
    <t>Картофель свежий</t>
  </si>
  <si>
    <t>Зеленый горошек(кукуруза консервированная)</t>
  </si>
  <si>
    <t>Лук репчатый (зеленый)</t>
  </si>
  <si>
    <t>Летний период ранний возраст</t>
  </si>
  <si>
    <t>Каша пшенная</t>
  </si>
  <si>
    <t>Вермишель молочная</t>
  </si>
  <si>
    <t xml:space="preserve">Вермишель </t>
  </si>
  <si>
    <t>160/20</t>
  </si>
  <si>
    <t>120/20</t>
  </si>
  <si>
    <t>Биточки Мясные запеченые:</t>
  </si>
  <si>
    <t>Мясо говядина (фарш)</t>
  </si>
  <si>
    <t>Овощной пудинг с мсясным фаршем: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</si>
  <si>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>:</t>
    </r>
  </si>
  <si>
    <t>Запеканка куриная с овощами и сыром:</t>
  </si>
  <si>
    <t>Сыр</t>
  </si>
  <si>
    <t>Ватушка с творогом:</t>
  </si>
  <si>
    <t>Творог</t>
  </si>
  <si>
    <t>Каша "Дружба " молочная</t>
  </si>
  <si>
    <t>День 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</si>
</sst>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5"/>
  <sheetViews>
    <sheetView view="pageBreakPreview" topLeftCell="A275" zoomScaleNormal="100" zoomScaleSheetLayoutView="100" workbookViewId="0">
      <selection activeCell="J259" sqref="J259"/>
    </sheetView>
  </sheetViews>
  <sheetFormatPr defaultRowHeight="15"/>
  <cols>
    <col min="1" max="1" width="50.28515625" customWidth="1"/>
    <col min="2" max="2" width="5" customWidth="1"/>
    <col min="3" max="4" width="8.140625" customWidth="1"/>
    <col min="5" max="5" width="8.5703125" customWidth="1"/>
    <col min="6" max="6" width="8.85546875" customWidth="1"/>
    <col min="7" max="7" width="6.85546875" customWidth="1"/>
    <col min="8" max="8" width="7.7109375" customWidth="1"/>
  </cols>
  <sheetData>
    <row r="1" spans="1:8" ht="19.5" customHeight="1">
      <c r="A1" s="5" t="s">
        <v>106</v>
      </c>
    </row>
    <row r="2" spans="1:8" ht="17.25" customHeight="1">
      <c r="A2" s="2" t="s">
        <v>10</v>
      </c>
    </row>
    <row r="3" spans="1:8" ht="15.75" customHeight="1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>
      <c r="A4" s="1" t="s">
        <v>34</v>
      </c>
      <c r="B4" s="7"/>
      <c r="C4" s="7"/>
      <c r="D4" s="7"/>
      <c r="E4" s="7"/>
      <c r="F4" s="7"/>
      <c r="G4" s="7"/>
      <c r="H4" s="1"/>
    </row>
    <row r="5" spans="1:8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>
      <c r="A10" s="1" t="s">
        <v>188</v>
      </c>
      <c r="B10" s="7"/>
      <c r="C10" s="7"/>
      <c r="D10" s="7"/>
      <c r="E10" s="7"/>
      <c r="F10" s="7"/>
      <c r="G10" s="5"/>
      <c r="H10" s="1"/>
    </row>
    <row r="11" spans="1:8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>
      <c r="A13" s="1"/>
      <c r="B13" s="7"/>
      <c r="C13" s="7"/>
      <c r="D13" s="7"/>
      <c r="E13" s="7"/>
      <c r="F13" s="7"/>
      <c r="G13" s="5">
        <v>200</v>
      </c>
      <c r="H13" s="1"/>
    </row>
    <row r="14" spans="1:8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>
      <c r="A19" s="2" t="s">
        <v>118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>
      <c r="A21" s="2" t="s">
        <v>182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>
      <c r="A22" s="1"/>
      <c r="B22" s="7"/>
      <c r="C22" s="7"/>
      <c r="D22" s="7"/>
      <c r="E22" s="7"/>
      <c r="F22" s="7"/>
      <c r="G22" s="7"/>
      <c r="H22" s="1"/>
    </row>
    <row r="23" spans="1:8">
      <c r="A23" s="2" t="s">
        <v>33</v>
      </c>
      <c r="B23" s="7"/>
      <c r="C23" s="7"/>
      <c r="D23" s="7"/>
      <c r="E23" s="7"/>
      <c r="F23" s="7"/>
      <c r="G23" s="7"/>
      <c r="H23" s="1"/>
    </row>
    <row r="24" spans="1:8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>
      <c r="A32" s="1" t="s">
        <v>24</v>
      </c>
      <c r="B32" s="7"/>
      <c r="C32" s="7"/>
      <c r="D32" s="7"/>
      <c r="E32" s="7"/>
      <c r="F32" s="7"/>
      <c r="G32" s="7"/>
      <c r="H32" s="1"/>
    </row>
    <row r="33" spans="1:8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>
      <c r="A38" s="1" t="s">
        <v>23</v>
      </c>
      <c r="B38" s="7"/>
      <c r="C38" s="7"/>
      <c r="D38" s="7"/>
      <c r="E38" s="7"/>
      <c r="F38" s="7"/>
      <c r="G38" s="7"/>
      <c r="H38" s="1"/>
    </row>
    <row r="39" spans="1:8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>
      <c r="A47" s="1" t="s">
        <v>29</v>
      </c>
      <c r="B47" s="7"/>
      <c r="C47" s="7"/>
      <c r="D47" s="7"/>
      <c r="E47" s="7"/>
      <c r="F47" s="7"/>
      <c r="G47" s="7"/>
      <c r="H47" s="1"/>
    </row>
    <row r="48" spans="1:8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>
      <c r="A56" s="1"/>
      <c r="B56" s="7"/>
      <c r="C56" s="18"/>
      <c r="D56" s="7"/>
      <c r="E56" s="7"/>
      <c r="F56" s="7"/>
      <c r="G56" s="5"/>
      <c r="H56" s="1"/>
    </row>
    <row r="57" spans="1:8" ht="15.75">
      <c r="A57" s="14" t="s">
        <v>185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>
      <c r="A58" s="1"/>
      <c r="B58" s="7"/>
      <c r="C58" s="7"/>
      <c r="D58" s="7"/>
      <c r="E58" s="7"/>
      <c r="F58" s="7"/>
      <c r="G58" s="7"/>
      <c r="H58" s="1"/>
    </row>
    <row r="59" spans="1:8">
      <c r="A59" s="1"/>
      <c r="B59" s="7"/>
      <c r="C59" s="7"/>
      <c r="D59" s="7"/>
      <c r="E59" s="7"/>
      <c r="F59" s="7"/>
      <c r="G59" s="7"/>
      <c r="H59" s="1"/>
    </row>
    <row r="60" spans="1:8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>
      <c r="A61" s="1" t="s">
        <v>37</v>
      </c>
      <c r="B61" s="7"/>
      <c r="C61" s="7"/>
      <c r="D61" s="7"/>
      <c r="E61" s="7"/>
      <c r="F61" s="7"/>
      <c r="G61" s="7"/>
      <c r="H61" s="1"/>
    </row>
    <row r="62" spans="1:8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>
      <c r="A73" s="1"/>
      <c r="B73" s="7"/>
      <c r="C73" s="7"/>
      <c r="D73" s="7"/>
      <c r="E73" s="7"/>
      <c r="F73" s="7"/>
      <c r="G73" s="5"/>
      <c r="H73" s="1"/>
    </row>
    <row r="74" spans="1:8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>
      <c r="A78" s="2" t="s">
        <v>183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>
      <c r="A79" s="1" t="s">
        <v>33</v>
      </c>
      <c r="B79" s="7"/>
      <c r="C79" s="7"/>
      <c r="D79" s="7"/>
      <c r="E79" s="7"/>
      <c r="F79" s="7"/>
      <c r="G79" s="7"/>
      <c r="H79" s="1"/>
    </row>
    <row r="80" spans="1:8">
      <c r="A80" s="1" t="s">
        <v>43</v>
      </c>
      <c r="B80" s="7"/>
      <c r="C80" s="7"/>
      <c r="D80" s="7"/>
      <c r="E80" s="7"/>
      <c r="F80" s="7"/>
      <c r="G80" s="7"/>
      <c r="H80" s="1"/>
    </row>
    <row r="81" spans="1:8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>
      <c r="A91" s="1" t="s">
        <v>46</v>
      </c>
      <c r="B91" s="7"/>
      <c r="C91" s="7"/>
      <c r="D91" s="7"/>
      <c r="E91" s="7"/>
      <c r="F91" s="7"/>
      <c r="G91" s="5"/>
      <c r="H91" s="1"/>
    </row>
    <row r="92" spans="1:8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>
      <c r="A97" s="1" t="s">
        <v>50</v>
      </c>
      <c r="B97" s="7"/>
      <c r="C97" s="7"/>
      <c r="D97" s="7"/>
      <c r="E97" s="7"/>
      <c r="F97" s="7"/>
      <c r="G97" s="5"/>
      <c r="H97" s="1"/>
    </row>
    <row r="98" spans="1:8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>
      <c r="A116" s="15" t="s">
        <v>184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>
      <c r="A117" s="15"/>
      <c r="B117" s="16"/>
      <c r="C117" s="16"/>
      <c r="D117" s="16"/>
      <c r="E117" s="16"/>
      <c r="F117" s="17"/>
      <c r="G117" s="5"/>
      <c r="H117" s="1"/>
    </row>
    <row r="118" spans="1:8">
      <c r="A118" s="1"/>
      <c r="B118" s="7"/>
      <c r="C118" s="10"/>
      <c r="D118" s="10"/>
      <c r="E118" s="10"/>
      <c r="F118" s="7"/>
      <c r="G118" s="7"/>
      <c r="H118" s="1"/>
    </row>
    <row r="119" spans="1:8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>
      <c r="A139" s="2" t="s">
        <v>145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>
      <c r="A169" s="1"/>
      <c r="B169" s="8"/>
      <c r="C169" s="10"/>
      <c r="D169" s="10"/>
      <c r="E169" s="10"/>
      <c r="F169" s="10"/>
      <c r="G169" s="7"/>
      <c r="H169" s="1"/>
    </row>
    <row r="170" spans="1:8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>
      <c r="A175" s="1"/>
      <c r="B175" s="7"/>
      <c r="C175" s="10"/>
      <c r="D175" s="10"/>
      <c r="E175" s="10"/>
      <c r="F175" s="10"/>
      <c r="G175" s="7"/>
      <c r="H175" s="1"/>
    </row>
    <row r="176" spans="1:8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>
      <c r="A177" s="15"/>
      <c r="B177" s="16"/>
      <c r="C177" s="16"/>
      <c r="D177" s="16"/>
      <c r="E177" s="16"/>
      <c r="F177" s="16"/>
      <c r="G177" s="7"/>
      <c r="H177" s="1"/>
    </row>
    <row r="178" spans="1:8">
      <c r="A178" s="1"/>
      <c r="B178" s="7"/>
      <c r="C178" s="10"/>
      <c r="D178" s="10"/>
      <c r="E178" s="10"/>
      <c r="F178" s="10"/>
      <c r="G178" s="7"/>
      <c r="H178" s="1"/>
    </row>
    <row r="179" spans="1:8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>
      <c r="A197" s="2" t="s">
        <v>190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>
      <c r="A208" s="3"/>
      <c r="B208" s="10"/>
      <c r="C208" s="10"/>
      <c r="D208" s="10"/>
      <c r="E208" s="10"/>
      <c r="F208" s="10"/>
      <c r="G208" s="10"/>
      <c r="H208" s="3"/>
    </row>
    <row r="209" spans="1:8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>
      <c r="A228" s="3"/>
      <c r="B228" s="10"/>
      <c r="C228" s="10"/>
      <c r="D228" s="10"/>
      <c r="E228" s="10"/>
      <c r="F228" s="10"/>
      <c r="G228" s="10"/>
      <c r="H228" s="3"/>
    </row>
    <row r="229" spans="1:8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>
      <c r="A244" s="2" t="s">
        <v>189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>
      <c r="A258" s="1" t="s">
        <v>107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>
      <c r="A259" s="1" t="s">
        <v>108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>
      <c r="A265" s="1" t="s">
        <v>109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>
      <c r="A273" s="1" t="s">
        <v>110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>
      <c r="A277" s="1" t="s">
        <v>111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>
      <c r="A279" s="2" t="s">
        <v>112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75">
      <c r="A280" s="14" t="s">
        <v>186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>
      <c r="A281" s="1"/>
      <c r="B281" s="7"/>
      <c r="C281" s="10"/>
      <c r="D281" s="10"/>
      <c r="E281" s="10"/>
      <c r="F281" s="10"/>
      <c r="G281" s="7"/>
      <c r="H281" s="1"/>
    </row>
    <row r="282" spans="1:8">
      <c r="A282" s="15" t="s">
        <v>113</v>
      </c>
      <c r="B282" s="7"/>
      <c r="C282" s="10"/>
      <c r="D282" s="10"/>
      <c r="E282" s="10"/>
      <c r="F282" s="10"/>
      <c r="G282" s="7"/>
      <c r="H282" s="2" t="s">
        <v>114</v>
      </c>
    </row>
    <row r="283" spans="1:8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>
      <c r="A284" s="1" t="s">
        <v>115</v>
      </c>
      <c r="B284" s="8"/>
      <c r="C284" s="10"/>
      <c r="D284" s="10"/>
      <c r="E284" s="10"/>
      <c r="F284" s="10"/>
      <c r="G284" s="7"/>
      <c r="H284" s="1"/>
    </row>
    <row r="285" spans="1:8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>
      <c r="A291" s="1" t="s">
        <v>116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>
      <c r="A297" s="1" t="s">
        <v>117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>
      <c r="A298" s="2" t="s">
        <v>118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>
      <c r="A300" s="2" t="s">
        <v>119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>
      <c r="A302" s="1" t="s">
        <v>126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>
      <c r="A309" s="1" t="s">
        <v>120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127</v>
      </c>
      <c r="H311" s="1"/>
    </row>
    <row r="312" spans="1:8">
      <c r="A312" s="1" t="s">
        <v>121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>
      <c r="A313" s="1" t="s">
        <v>122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>
      <c r="A317" s="1" t="s">
        <v>123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>
      <c r="A321" s="1" t="s">
        <v>124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>
      <c r="A323" s="1" t="s">
        <v>125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>
      <c r="A328" s="2" t="s">
        <v>141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75">
      <c r="A330" s="14" t="s">
        <v>187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>
      <c r="A331" s="1"/>
      <c r="B331" s="7"/>
      <c r="C331" s="10"/>
      <c r="D331" s="10"/>
      <c r="E331" s="10"/>
      <c r="F331" s="10"/>
      <c r="G331" s="7"/>
      <c r="H331" s="1"/>
    </row>
    <row r="332" spans="1:8">
      <c r="A332" s="1" t="s">
        <v>36</v>
      </c>
      <c r="B332" s="7"/>
      <c r="C332" s="10"/>
      <c r="D332" s="10"/>
      <c r="E332" s="10"/>
      <c r="F332" s="10"/>
      <c r="G332" s="7"/>
      <c r="H332" s="2" t="s">
        <v>128</v>
      </c>
    </row>
    <row r="333" spans="1:8">
      <c r="A333" s="1" t="s">
        <v>129</v>
      </c>
      <c r="B333" s="7"/>
      <c r="C333" s="10"/>
      <c r="D333" s="10"/>
      <c r="E333" s="10"/>
      <c r="F333" s="10"/>
      <c r="G333" s="7"/>
      <c r="H333" s="1"/>
    </row>
    <row r="334" spans="1:8">
      <c r="A334" s="1" t="s">
        <v>130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>
      <c r="A339" s="1" t="s">
        <v>131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140</v>
      </c>
      <c r="H341" s="1"/>
    </row>
    <row r="342" spans="1:8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>
      <c r="A349" s="2" t="s">
        <v>118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>
      <c r="A350" s="2"/>
      <c r="B350" s="5"/>
      <c r="C350" s="5"/>
      <c r="D350" s="5"/>
      <c r="E350" s="5"/>
      <c r="F350" s="5"/>
      <c r="G350" s="7"/>
      <c r="H350" s="1"/>
    </row>
    <row r="351" spans="1:8">
      <c r="A351" s="2" t="s">
        <v>136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>
      <c r="A353" s="1" t="s">
        <v>133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>
      <c r="A361" s="1" t="s">
        <v>132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>
      <c r="A364" s="1" t="s">
        <v>134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>
      <c r="A365" s="2" t="s">
        <v>135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>
      <c r="A366" s="1" t="s">
        <v>137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>
      <c r="A367" s="1" t="s">
        <v>137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>
      <c r="A368" s="1" t="s">
        <v>132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>
      <c r="A374" s="1" t="s">
        <v>138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75">
      <c r="A379" s="14" t="s">
        <v>139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>
      <c r="A380" s="1"/>
      <c r="B380" s="7"/>
      <c r="C380" s="10"/>
      <c r="D380" s="10"/>
      <c r="E380" s="10"/>
      <c r="F380" s="10"/>
      <c r="G380" s="7"/>
      <c r="H380" s="1"/>
    </row>
    <row r="381" spans="1:8">
      <c r="A381" s="1"/>
      <c r="B381" s="7"/>
      <c r="C381" s="10"/>
      <c r="D381" s="10"/>
      <c r="E381" s="10"/>
      <c r="F381" s="10"/>
      <c r="G381" s="5" t="s">
        <v>142</v>
      </c>
      <c r="H381" s="1"/>
    </row>
    <row r="382" spans="1:8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>
      <c r="A383" s="1" t="s">
        <v>143</v>
      </c>
      <c r="B383" s="7"/>
      <c r="C383" s="10"/>
      <c r="D383" s="10"/>
      <c r="E383" s="10"/>
      <c r="F383" s="10"/>
      <c r="G383" s="7"/>
      <c r="H383" s="1"/>
    </row>
    <row r="384" spans="1:8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>
      <c r="A389" s="1" t="s">
        <v>144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>
      <c r="A397" s="2" t="s">
        <v>118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>
      <c r="A399" s="2" t="s">
        <v>145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>
      <c r="A402" s="1" t="s">
        <v>146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>
      <c r="A403" s="1" t="s">
        <v>147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>
      <c r="A404" s="1" t="s">
        <v>148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>
      <c r="A410" s="1" t="s">
        <v>149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>
      <c r="A411" s="1" t="s">
        <v>147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>
      <c r="A416" s="1" t="s">
        <v>123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155</v>
      </c>
      <c r="H419" s="1"/>
    </row>
    <row r="420" spans="1:8">
      <c r="A420" s="1" t="s">
        <v>150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>
      <c r="A421" s="1" t="s">
        <v>151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>
      <c r="A424" s="1" t="s">
        <v>125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>
      <c r="A427" s="1" t="s">
        <v>153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>
      <c r="A428" s="1" t="s">
        <v>152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75">
      <c r="A434" s="14" t="s">
        <v>154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>
      <c r="A435" s="1"/>
      <c r="B435" s="7"/>
      <c r="C435" s="10"/>
      <c r="D435" s="10"/>
      <c r="E435" s="7"/>
      <c r="F435" s="10"/>
      <c r="G435" s="5"/>
      <c r="H435" s="1"/>
    </row>
    <row r="436" spans="1:8">
      <c r="A436" s="1"/>
      <c r="B436" s="7"/>
      <c r="C436" s="10"/>
      <c r="D436" s="10"/>
      <c r="E436" s="7"/>
      <c r="F436" s="10"/>
      <c r="G436" s="5"/>
      <c r="H436" s="2" t="s">
        <v>156</v>
      </c>
    </row>
    <row r="437" spans="1:8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>
      <c r="A438" s="1" t="s">
        <v>157</v>
      </c>
      <c r="B438" s="7"/>
      <c r="C438" s="10"/>
      <c r="D438" s="10"/>
      <c r="E438" s="7"/>
      <c r="F438" s="10"/>
      <c r="G438" s="7"/>
      <c r="H438" s="1"/>
    </row>
    <row r="439" spans="1:8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>
      <c r="A444" s="1" t="s">
        <v>158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>
      <c r="A452" s="2" t="s">
        <v>118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>
      <c r="A453" s="2"/>
      <c r="B453" s="5"/>
      <c r="C453" s="5"/>
      <c r="D453" s="5"/>
      <c r="E453" s="5"/>
      <c r="F453" s="5"/>
      <c r="G453" s="7"/>
      <c r="H453" s="1"/>
    </row>
    <row r="454" spans="1:8">
      <c r="A454" s="1" t="s">
        <v>159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>
      <c r="A457" s="1" t="s">
        <v>160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>
      <c r="A460" s="1" t="s">
        <v>161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>
      <c r="A466" s="1" t="s">
        <v>162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>
      <c r="A471" s="1" t="s">
        <v>123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165</v>
      </c>
      <c r="H473" s="1"/>
    </row>
    <row r="474" spans="1:8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>
      <c r="A480" s="1" t="s">
        <v>110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>
      <c r="A483" s="2" t="s">
        <v>163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>
      <c r="A484" s="1" t="s">
        <v>111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75">
      <c r="A488" s="14" t="s">
        <v>164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166</v>
      </c>
    </row>
    <row r="491" spans="1:8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>
      <c r="A492" s="1" t="s">
        <v>167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169</v>
      </c>
      <c r="H500" s="1"/>
    </row>
    <row r="501" spans="1:8">
      <c r="A501" s="1" t="s">
        <v>168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>
      <c r="A506" s="1" t="s">
        <v>111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>
      <c r="A508" s="2" t="s">
        <v>118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>
      <c r="A510" s="2" t="s">
        <v>191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>
      <c r="A513" s="1" t="s">
        <v>170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>
      <c r="A517" s="1" t="s">
        <v>171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180</v>
      </c>
      <c r="H521" s="1"/>
    </row>
    <row r="522" spans="1:8">
      <c r="A522" s="1" t="s">
        <v>172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>
      <c r="A523" s="1" t="s">
        <v>173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>
      <c r="A528" s="1" t="s">
        <v>123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181</v>
      </c>
      <c r="H532" s="1"/>
    </row>
    <row r="533" spans="1:11">
      <c r="A533" s="1" t="s">
        <v>174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>
      <c r="A534" s="1" t="s">
        <v>175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>
      <c r="A538" s="1" t="s">
        <v>176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>
      <c r="A540" s="1" t="s">
        <v>177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>
      <c r="A543" s="1" t="s">
        <v>111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>
      <c r="A545" s="2" t="s">
        <v>178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75">
      <c r="A547" s="14" t="s">
        <v>179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6"/>
  <sheetViews>
    <sheetView topLeftCell="A13" workbookViewId="0">
      <selection activeCell="G74" sqref="G74"/>
    </sheetView>
  </sheetViews>
  <sheetFormatPr defaultRowHeight="15"/>
  <cols>
    <col min="1" max="1" width="34.28515625" customWidth="1"/>
    <col min="7" max="8" width="7.7109375" customWidth="1"/>
    <col min="9" max="9" width="16.7109375" customWidth="1"/>
  </cols>
  <sheetData>
    <row r="1" spans="1:9">
      <c r="A1" s="1"/>
      <c r="B1" s="7"/>
      <c r="C1" s="10"/>
      <c r="D1" s="10"/>
      <c r="E1" s="7"/>
      <c r="F1" s="10"/>
      <c r="G1" s="5"/>
      <c r="H1" s="5" t="s">
        <v>156</v>
      </c>
      <c r="I1" s="2" t="s">
        <v>197</v>
      </c>
    </row>
    <row r="2" spans="1:9">
      <c r="A2" s="1" t="s">
        <v>36</v>
      </c>
      <c r="B2" s="7"/>
      <c r="C2" s="10"/>
      <c r="D2" s="10"/>
      <c r="E2" s="7"/>
      <c r="F2" s="10"/>
      <c r="G2" s="5"/>
      <c r="H2" s="5"/>
      <c r="I2" s="1"/>
    </row>
    <row r="3" spans="1:9">
      <c r="A3" s="25" t="s">
        <v>348</v>
      </c>
      <c r="B3" s="7"/>
      <c r="C3" s="10"/>
      <c r="D3" s="10"/>
      <c r="E3" s="7"/>
      <c r="F3" s="10"/>
      <c r="G3" s="7"/>
      <c r="H3" s="7"/>
      <c r="I3" s="1"/>
    </row>
    <row r="4" spans="1:9">
      <c r="A4" s="1" t="s">
        <v>81</v>
      </c>
      <c r="B4" s="8">
        <v>22</v>
      </c>
      <c r="C4" s="10">
        <f>B4*10.7/100</f>
        <v>2.3539999999999996</v>
      </c>
      <c r="D4" s="10">
        <f>B4*1.3/100</f>
        <v>0.28600000000000003</v>
      </c>
      <c r="E4" s="7">
        <f>B4*68.4/100</f>
        <v>15.048000000000002</v>
      </c>
      <c r="F4" s="10">
        <f>B4*335/100</f>
        <v>73.7</v>
      </c>
      <c r="G4" s="7"/>
      <c r="H4" s="7"/>
      <c r="I4" s="1"/>
    </row>
    <row r="5" spans="1:9">
      <c r="A5" s="1" t="s">
        <v>7</v>
      </c>
      <c r="B5" s="8">
        <v>130</v>
      </c>
      <c r="C5" s="10">
        <f>B5*2.8/100</f>
        <v>3.64</v>
      </c>
      <c r="D5" s="10">
        <f>B5*3.5/100</f>
        <v>4.55</v>
      </c>
      <c r="E5" s="7">
        <f>B5*4.7/100</f>
        <v>6.11</v>
      </c>
      <c r="F5" s="10">
        <f>B5*61/100</f>
        <v>79.3</v>
      </c>
      <c r="G5" s="5"/>
      <c r="H5" s="5"/>
      <c r="I5" s="1"/>
    </row>
    <row r="6" spans="1:9">
      <c r="A6" s="1" t="s">
        <v>8</v>
      </c>
      <c r="B6" s="8">
        <v>4</v>
      </c>
      <c r="C6" s="10">
        <f>B6*0.7/100</f>
        <v>2.7999999999999997E-2</v>
      </c>
      <c r="D6" s="10">
        <f t="shared" ref="D6:D16" si="0">B6*72.5/100</f>
        <v>2.9</v>
      </c>
      <c r="E6" s="7">
        <f>B6*1/100</f>
        <v>0.04</v>
      </c>
      <c r="F6" s="10">
        <f>B6*709/100</f>
        <v>28.36</v>
      </c>
      <c r="G6" s="5"/>
      <c r="H6" s="5"/>
      <c r="I6" s="1"/>
    </row>
    <row r="7" spans="1:9">
      <c r="A7" s="1" t="s">
        <v>9</v>
      </c>
      <c r="B7" s="8">
        <v>3</v>
      </c>
      <c r="C7" s="10">
        <f>B7*0/100</f>
        <v>0</v>
      </c>
      <c r="D7" s="10">
        <f>B7*0/100</f>
        <v>0</v>
      </c>
      <c r="E7" s="7">
        <f>B7*99.8/100</f>
        <v>2.9939999999999998</v>
      </c>
      <c r="F7" s="10">
        <f>B7*379/10</f>
        <v>113.7</v>
      </c>
      <c r="G7" s="5"/>
      <c r="H7" s="5"/>
      <c r="I7" s="1"/>
    </row>
    <row r="8" spans="1:9">
      <c r="A8" s="2" t="s">
        <v>74</v>
      </c>
      <c r="B8" s="5"/>
      <c r="C8" s="5">
        <f>C4+C5+C6</f>
        <v>6.0219999999999994</v>
      </c>
      <c r="D8" s="5">
        <f>D4+D5+D6</f>
        <v>7.7360000000000007</v>
      </c>
      <c r="E8" s="5">
        <f>E4+E5+E6+E7</f>
        <v>24.192</v>
      </c>
      <c r="F8" s="5">
        <f>F4+F5+F6+F7</f>
        <v>295.06</v>
      </c>
      <c r="G8" s="5">
        <v>150</v>
      </c>
      <c r="H8" s="5"/>
      <c r="I8" s="1" t="s">
        <v>255</v>
      </c>
    </row>
    <row r="9" spans="1:9">
      <c r="A9" s="2" t="s">
        <v>158</v>
      </c>
      <c r="B9" s="7"/>
      <c r="C9" s="10"/>
      <c r="D9" s="10"/>
      <c r="E9" s="7"/>
      <c r="F9" s="10"/>
      <c r="G9" s="5"/>
      <c r="H9" s="5"/>
      <c r="I9" s="1"/>
    </row>
    <row r="10" spans="1:9">
      <c r="A10" s="1" t="s">
        <v>11</v>
      </c>
      <c r="B10" s="7">
        <v>0.6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>
      <c r="A11" s="1" t="s">
        <v>7</v>
      </c>
      <c r="B11" s="8">
        <v>130</v>
      </c>
      <c r="C11" s="10">
        <f>B11*2.8/100</f>
        <v>3.64</v>
      </c>
      <c r="D11" s="10">
        <f>B11*3.5/100</f>
        <v>4.55</v>
      </c>
      <c r="E11" s="7">
        <f>B11*4.7/100</f>
        <v>6.11</v>
      </c>
      <c r="F11" s="10">
        <f>B11*61/100</f>
        <v>79.3</v>
      </c>
      <c r="G11" s="5"/>
      <c r="H11" s="5"/>
      <c r="I11" s="1"/>
    </row>
    <row r="12" spans="1:9">
      <c r="A12" s="1" t="s">
        <v>9</v>
      </c>
      <c r="B12" s="8">
        <v>6</v>
      </c>
      <c r="C12" s="10">
        <f>B12*0/100</f>
        <v>0</v>
      </c>
      <c r="D12" s="10">
        <f>B12*0/100</f>
        <v>0</v>
      </c>
      <c r="E12" s="7">
        <f>B12*99.8/100</f>
        <v>5.9879999999999995</v>
      </c>
      <c r="F12" s="10">
        <f>B12*379/100</f>
        <v>22.74</v>
      </c>
      <c r="G12" s="5"/>
      <c r="H12" s="5"/>
      <c r="I12" s="1"/>
    </row>
    <row r="13" spans="1:9">
      <c r="A13" s="2" t="s">
        <v>14</v>
      </c>
      <c r="B13" s="5"/>
      <c r="C13" s="5">
        <f>C11+C12</f>
        <v>3.64</v>
      </c>
      <c r="D13" s="5">
        <f>D11+D12</f>
        <v>4.55</v>
      </c>
      <c r="E13" s="5">
        <f>E11+E12</f>
        <v>12.097999999999999</v>
      </c>
      <c r="F13" s="5">
        <f>F11+F12</f>
        <v>102.03999999999999</v>
      </c>
      <c r="G13" s="5">
        <v>150</v>
      </c>
      <c r="H13" s="5"/>
      <c r="I13" s="1" t="s">
        <v>256</v>
      </c>
    </row>
    <row r="14" spans="1:9">
      <c r="A14" s="2" t="s">
        <v>13</v>
      </c>
      <c r="B14" s="7">
        <v>11</v>
      </c>
      <c r="C14" s="10">
        <f>B14*23/100</f>
        <v>2.5299999999999998</v>
      </c>
      <c r="D14" s="10">
        <f>B14*29/100</f>
        <v>3.19</v>
      </c>
      <c r="E14" s="7">
        <f>B14*0/100</f>
        <v>0</v>
      </c>
      <c r="F14" s="10">
        <f>B14*360/100</f>
        <v>39.6</v>
      </c>
      <c r="G14" s="5">
        <v>11</v>
      </c>
      <c r="H14" s="5"/>
      <c r="I14" s="1" t="s">
        <v>200</v>
      </c>
    </row>
    <row r="15" spans="1:9">
      <c r="A15" s="1" t="s">
        <v>12</v>
      </c>
      <c r="B15" s="8">
        <v>50</v>
      </c>
      <c r="C15" s="10">
        <f>B15*7.7/100</f>
        <v>3.85</v>
      </c>
      <c r="D15" s="10">
        <f>B15*3/100</f>
        <v>1.5</v>
      </c>
      <c r="E15" s="7">
        <f>B15*49.8/100</f>
        <v>24.9</v>
      </c>
      <c r="F15" s="10">
        <f>B15*262/100</f>
        <v>131</v>
      </c>
      <c r="G15" s="5">
        <v>50</v>
      </c>
      <c r="H15" s="5"/>
      <c r="I15" s="1"/>
    </row>
    <row r="16" spans="1:9">
      <c r="A16" s="1" t="s">
        <v>8</v>
      </c>
      <c r="B16" s="8">
        <v>5</v>
      </c>
      <c r="C16" s="10">
        <f>B16*0.7/100</f>
        <v>3.5000000000000003E-2</v>
      </c>
      <c r="D16" s="10">
        <f t="shared" si="0"/>
        <v>3.625</v>
      </c>
      <c r="E16" s="7">
        <f>B16*1/100</f>
        <v>0.05</v>
      </c>
      <c r="F16" s="10">
        <f>B16*709/100</f>
        <v>35.450000000000003</v>
      </c>
      <c r="G16" s="5">
        <v>5</v>
      </c>
      <c r="H16" s="5"/>
      <c r="I16" s="1"/>
    </row>
    <row r="17" spans="1:9">
      <c r="A17" s="2" t="s">
        <v>118</v>
      </c>
      <c r="B17" s="5"/>
      <c r="C17" s="5">
        <f>C8+C13+C14+C15+C16</f>
        <v>16.076999999999998</v>
      </c>
      <c r="D17" s="5">
        <f>D8+D13+D14+D15+D16</f>
        <v>20.600999999999999</v>
      </c>
      <c r="E17" s="5">
        <f>E8+E13+E15+E16</f>
        <v>61.239999999999995</v>
      </c>
      <c r="F17" s="5">
        <f>F8+F13+F14+F15+F16</f>
        <v>603.15000000000009</v>
      </c>
      <c r="G17" s="5">
        <v>366</v>
      </c>
      <c r="H17" s="5"/>
      <c r="I17" s="1"/>
    </row>
    <row r="18" spans="1:9">
      <c r="A18" s="2"/>
      <c r="B18" s="5"/>
      <c r="C18" s="5"/>
      <c r="D18" s="5"/>
      <c r="E18" s="5"/>
      <c r="F18" s="5"/>
      <c r="G18" s="7"/>
      <c r="H18" s="7"/>
      <c r="I18" s="1"/>
    </row>
    <row r="19" spans="1:9">
      <c r="A19" s="2" t="s">
        <v>337</v>
      </c>
      <c r="B19" s="5">
        <v>120</v>
      </c>
      <c r="C19" s="5">
        <f>B19*0.8/100</f>
        <v>0.96</v>
      </c>
      <c r="D19" s="5">
        <f>B19*0.3/100</f>
        <v>0.36</v>
      </c>
      <c r="E19" s="5">
        <f>B19*8.1/100</f>
        <v>9.7200000000000006</v>
      </c>
      <c r="F19" s="5">
        <f>B19*40/100</f>
        <v>48</v>
      </c>
      <c r="G19" s="5">
        <v>120</v>
      </c>
      <c r="H19" s="5"/>
      <c r="I19" s="1" t="s">
        <v>257</v>
      </c>
    </row>
    <row r="20" spans="1:9">
      <c r="A20" s="1"/>
      <c r="B20" s="7"/>
      <c r="C20" s="10"/>
      <c r="D20" s="10"/>
      <c r="E20" s="7"/>
      <c r="F20" s="10"/>
      <c r="G20" s="7"/>
      <c r="H20" s="7"/>
      <c r="I20" s="1"/>
    </row>
    <row r="21" spans="1:9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>
      <c r="A22" s="2" t="s">
        <v>160</v>
      </c>
      <c r="B22" s="7"/>
      <c r="C22" s="10"/>
      <c r="D22" s="10"/>
      <c r="E22" s="7"/>
      <c r="F22" s="10"/>
      <c r="G22" s="7"/>
      <c r="H22" s="7"/>
      <c r="I22" s="1"/>
    </row>
    <row r="23" spans="1:9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>
      <c r="A25" s="1" t="s">
        <v>161</v>
      </c>
      <c r="B25" s="8">
        <v>15</v>
      </c>
      <c r="C25" s="10">
        <f>B25*5/100</f>
        <v>0.75</v>
      </c>
      <c r="D25" s="10">
        <f>B25*0.2/100</f>
        <v>0.03</v>
      </c>
      <c r="E25" s="7">
        <f>B25*12.8/100</f>
        <v>1.92</v>
      </c>
      <c r="F25" s="10">
        <f>B25*73/100</f>
        <v>10.95</v>
      </c>
      <c r="G25" s="7"/>
      <c r="H25" s="7"/>
      <c r="I25" s="1"/>
    </row>
    <row r="26" spans="1:9">
      <c r="A26" s="1" t="s">
        <v>20</v>
      </c>
      <c r="B26" s="8">
        <v>15</v>
      </c>
      <c r="C26" s="10">
        <f>B26*1.4/100</f>
        <v>0.21</v>
      </c>
      <c r="D26" s="10">
        <f>B26*0/100</f>
        <v>0</v>
      </c>
      <c r="E26" s="7">
        <f>B26*9.1/100</f>
        <v>1.365</v>
      </c>
      <c r="F26" s="10">
        <f>B26*41/100</f>
        <v>6.15</v>
      </c>
      <c r="G26" s="7"/>
      <c r="H26" s="7"/>
      <c r="I26" s="1"/>
    </row>
    <row r="27" spans="1:9">
      <c r="A27" s="1" t="s">
        <v>16</v>
      </c>
      <c r="B27" s="8">
        <v>15</v>
      </c>
      <c r="C27" s="10">
        <f>B27*1.3/100</f>
        <v>0.19500000000000001</v>
      </c>
      <c r="D27" s="10">
        <f>B27*0.1/100</f>
        <v>1.4999999999999999E-2</v>
      </c>
      <c r="E27" s="7">
        <f>B27*9.1/100</f>
        <v>1.365</v>
      </c>
      <c r="F27" s="10">
        <f>B27*41/100</f>
        <v>6.15</v>
      </c>
      <c r="G27" s="7"/>
      <c r="H27" s="7"/>
      <c r="I27" s="1"/>
    </row>
    <row r="28" spans="1:9">
      <c r="A28" s="1" t="s">
        <v>28</v>
      </c>
      <c r="B28" s="8">
        <v>2</v>
      </c>
      <c r="C28" s="10">
        <f>B28*4.8/100</f>
        <v>9.6000000000000002E-2</v>
      </c>
      <c r="D28" s="10">
        <f>B28*0/100</f>
        <v>0</v>
      </c>
      <c r="E28" s="7">
        <f>B28*19/100</f>
        <v>0.38</v>
      </c>
      <c r="F28" s="10">
        <f>B28*99/100</f>
        <v>1.98</v>
      </c>
      <c r="G28" s="7"/>
      <c r="H28" s="7"/>
      <c r="I28" s="1"/>
    </row>
    <row r="29" spans="1:9">
      <c r="A29" s="1" t="s">
        <v>8</v>
      </c>
      <c r="B29" s="7">
        <v>3</v>
      </c>
      <c r="C29" s="10">
        <f>B29*0.7/100</f>
        <v>2.0999999999999998E-2</v>
      </c>
      <c r="D29" s="10">
        <f t="shared" ref="D29:D47" si="1">B29*72.5/100</f>
        <v>2.1749999999999998</v>
      </c>
      <c r="E29" s="7">
        <f>B29*1/100</f>
        <v>0.03</v>
      </c>
      <c r="F29" s="10">
        <f>B29*709/100</f>
        <v>21.27</v>
      </c>
      <c r="G29" s="7"/>
      <c r="H29" s="7"/>
      <c r="I29" s="1"/>
    </row>
    <row r="30" spans="1:9">
      <c r="A30" s="2" t="s">
        <v>14</v>
      </c>
      <c r="B30" s="5"/>
      <c r="C30" s="5">
        <f>C23+C24+C25+C26+C27+C28+C29</f>
        <v>7.6520000000000001</v>
      </c>
      <c r="D30" s="5">
        <f>D23+D24+D25+D26+D27+D28+D29</f>
        <v>7.18</v>
      </c>
      <c r="E30" s="5">
        <f>E23+E24+E25+E26+E27+E28+E29</f>
        <v>11.98</v>
      </c>
      <c r="F30" s="5">
        <f>F23+F24+F25+F26+F27+F28+F29</f>
        <v>143.90000000000003</v>
      </c>
      <c r="G30" s="5">
        <v>160</v>
      </c>
      <c r="H30" s="5"/>
      <c r="I30" s="1" t="s">
        <v>258</v>
      </c>
    </row>
    <row r="31" spans="1:9">
      <c r="A31" s="2" t="s">
        <v>162</v>
      </c>
      <c r="B31" s="7"/>
      <c r="C31" s="10"/>
      <c r="D31" s="10"/>
      <c r="E31" s="7"/>
      <c r="F31" s="10"/>
      <c r="G31" s="7"/>
      <c r="H31" s="7"/>
      <c r="I31" s="1"/>
    </row>
    <row r="32" spans="1:9">
      <c r="A32" s="1" t="s">
        <v>41</v>
      </c>
      <c r="B32" s="8">
        <v>60</v>
      </c>
      <c r="C32" s="10">
        <f>B32*18.6/100</f>
        <v>11.16</v>
      </c>
      <c r="D32" s="10">
        <f>B32*16/100</f>
        <v>9.6</v>
      </c>
      <c r="E32" s="7">
        <f>B32*0/100</f>
        <v>0</v>
      </c>
      <c r="F32" s="10">
        <f>B33*41/100</f>
        <v>6.15</v>
      </c>
      <c r="G32" s="7"/>
      <c r="H32" s="7"/>
      <c r="I32" s="1"/>
    </row>
    <row r="33" spans="1:9">
      <c r="A33" s="1" t="s">
        <v>20</v>
      </c>
      <c r="B33" s="8">
        <v>15</v>
      </c>
      <c r="C33" s="10">
        <f>B33*1.4/100</f>
        <v>0.21</v>
      </c>
      <c r="D33" s="10">
        <f>B33*0/100</f>
        <v>0</v>
      </c>
      <c r="E33" s="7">
        <f>B33*9.1/100</f>
        <v>1.365</v>
      </c>
      <c r="F33" s="12">
        <f>B33/41</f>
        <v>0.36585365853658536</v>
      </c>
      <c r="G33" s="7"/>
      <c r="H33" s="7"/>
      <c r="I33" s="1"/>
    </row>
    <row r="34" spans="1:9">
      <c r="A34" s="1" t="s">
        <v>16</v>
      </c>
      <c r="B34" s="11">
        <v>15</v>
      </c>
      <c r="C34" s="10">
        <f>B34*1.3/100</f>
        <v>0.19500000000000001</v>
      </c>
      <c r="D34" s="10">
        <f>B34*0.1/100</f>
        <v>1.4999999999999999E-2</v>
      </c>
      <c r="E34" s="7">
        <f>B34*8.4/100</f>
        <v>1.26</v>
      </c>
      <c r="F34" s="10">
        <f>B34*34/100</f>
        <v>5.0999999999999996</v>
      </c>
      <c r="G34" s="7"/>
      <c r="H34" s="7"/>
      <c r="I34" s="1"/>
    </row>
    <row r="35" spans="1:9">
      <c r="A35" s="1" t="s">
        <v>28</v>
      </c>
      <c r="B35" s="8">
        <v>4</v>
      </c>
      <c r="C35" s="10">
        <f>B35*4.8/100</f>
        <v>0.192</v>
      </c>
      <c r="D35" s="10">
        <f>B35*0/100</f>
        <v>0</v>
      </c>
      <c r="E35" s="7">
        <f>B35*19/100</f>
        <v>0.76</v>
      </c>
      <c r="F35" s="10">
        <f>B35*99/100</f>
        <v>3.96</v>
      </c>
      <c r="G35" s="7"/>
      <c r="H35" s="7"/>
      <c r="I35" s="1"/>
    </row>
    <row r="36" spans="1:9">
      <c r="A36" s="1" t="s">
        <v>123</v>
      </c>
      <c r="B36" s="8">
        <v>3</v>
      </c>
      <c r="C36" s="10">
        <f>B36*10.3/100</f>
        <v>0.309</v>
      </c>
      <c r="D36" s="10">
        <f>B36*1.3/100</f>
        <v>3.9000000000000007E-2</v>
      </c>
      <c r="E36" s="7">
        <f>B36*67.7/100</f>
        <v>2.0310000000000001</v>
      </c>
      <c r="F36" s="10">
        <f>B36*331/100</f>
        <v>9.93</v>
      </c>
      <c r="G36" s="7"/>
      <c r="H36" s="7"/>
      <c r="I36" s="1"/>
    </row>
    <row r="37" spans="1:9">
      <c r="A37" s="1" t="s">
        <v>8</v>
      </c>
      <c r="B37" s="8">
        <v>3</v>
      </c>
      <c r="C37" s="10">
        <f>B37*0.7/100</f>
        <v>2.0999999999999998E-2</v>
      </c>
      <c r="D37" s="10">
        <f t="shared" si="1"/>
        <v>2.1749999999999998</v>
      </c>
      <c r="E37" s="7">
        <f>B37*1/100</f>
        <v>0.03</v>
      </c>
      <c r="F37" s="10">
        <f>B37*709/100</f>
        <v>21.27</v>
      </c>
      <c r="G37" s="7"/>
      <c r="H37" s="7"/>
      <c r="I37" s="1"/>
    </row>
    <row r="38" spans="1:9">
      <c r="A38" s="2" t="s">
        <v>14</v>
      </c>
      <c r="B38" s="5"/>
      <c r="C38" s="5">
        <f>C32+C33+C34+C35+C36+C37</f>
        <v>12.087000000000002</v>
      </c>
      <c r="D38" s="5">
        <f>D32+D33+D34+D35+D36+D37</f>
        <v>11.829000000000001</v>
      </c>
      <c r="E38" s="5">
        <f>E32+E33+E34+E35+E36+E37</f>
        <v>5.4460000000000006</v>
      </c>
      <c r="F38" s="13">
        <f>F32+F33+F34+F35+F36+F37</f>
        <v>46.77585365853659</v>
      </c>
      <c r="G38" s="5" t="s">
        <v>332</v>
      </c>
      <c r="H38" s="5"/>
      <c r="I38" s="1" t="s">
        <v>259</v>
      </c>
    </row>
    <row r="39" spans="1:9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>
      <c r="A40" s="1" t="s">
        <v>15</v>
      </c>
      <c r="B40" s="7">
        <v>90</v>
      </c>
      <c r="C40" s="10">
        <f>B40*2/100</f>
        <v>1.8</v>
      </c>
      <c r="D40" s="10">
        <f>B40*0.4/100</f>
        <v>0.36</v>
      </c>
      <c r="E40" s="7">
        <f>B40*17.3/100</f>
        <v>15.57</v>
      </c>
      <c r="F40" s="10">
        <f>B40*80/100</f>
        <v>72</v>
      </c>
      <c r="G40" s="5"/>
      <c r="H40" s="5"/>
      <c r="I40" s="1"/>
    </row>
    <row r="41" spans="1:9">
      <c r="A41" s="1" t="s">
        <v>7</v>
      </c>
      <c r="B41" s="8">
        <v>30</v>
      </c>
      <c r="C41" s="10">
        <f>B41*2.8/100</f>
        <v>0.84</v>
      </c>
      <c r="D41" s="10">
        <f>B41*3.5/100</f>
        <v>1.05</v>
      </c>
      <c r="E41" s="7">
        <f>B41*4.7/100</f>
        <v>1.41</v>
      </c>
      <c r="F41" s="10">
        <f>B41*61/100</f>
        <v>18.3</v>
      </c>
      <c r="G41" s="5"/>
      <c r="H41" s="5"/>
      <c r="I41" s="1"/>
    </row>
    <row r="42" spans="1:9">
      <c r="A42" s="1" t="s">
        <v>8</v>
      </c>
      <c r="B42" s="8">
        <v>4</v>
      </c>
      <c r="C42" s="10">
        <f>B42*0.7/100</f>
        <v>2.7999999999999997E-2</v>
      </c>
      <c r="D42" s="10">
        <f t="shared" si="1"/>
        <v>2.9</v>
      </c>
      <c r="E42" s="7">
        <f>B42*1/100</f>
        <v>0.04</v>
      </c>
      <c r="F42" s="10">
        <f>B42*709/100</f>
        <v>28.36</v>
      </c>
      <c r="G42" s="5"/>
      <c r="H42" s="5"/>
      <c r="I42" s="1"/>
    </row>
    <row r="43" spans="1:9">
      <c r="A43" s="2" t="s">
        <v>74</v>
      </c>
      <c r="B43" s="5"/>
      <c r="C43" s="5">
        <f>C40+C41+C42</f>
        <v>2.6680000000000001</v>
      </c>
      <c r="D43" s="5">
        <f>D40+D41+D42</f>
        <v>4.3100000000000005</v>
      </c>
      <c r="E43" s="5">
        <f>E40+E41+E42</f>
        <v>17.02</v>
      </c>
      <c r="F43" s="5">
        <f>F40+F41+F42</f>
        <v>118.66</v>
      </c>
      <c r="G43" s="5">
        <v>110</v>
      </c>
      <c r="H43" s="5"/>
      <c r="I43" s="1" t="s">
        <v>221</v>
      </c>
    </row>
    <row r="44" spans="1:9">
      <c r="A44" s="2" t="s">
        <v>72</v>
      </c>
      <c r="B44" s="7"/>
      <c r="C44" s="10"/>
      <c r="D44" s="10"/>
      <c r="E44" s="7"/>
      <c r="F44" s="10"/>
      <c r="G44" s="5"/>
      <c r="H44" s="5"/>
      <c r="I44" s="1"/>
    </row>
    <row r="45" spans="1:9">
      <c r="A45" s="1" t="s">
        <v>110</v>
      </c>
      <c r="B45" s="7">
        <v>10</v>
      </c>
      <c r="C45" s="10">
        <f>B45*3.4/100</f>
        <v>0.34</v>
      </c>
      <c r="D45" s="10">
        <f>B45*0/100</f>
        <v>0</v>
      </c>
      <c r="E45" s="7">
        <f>B45*21.5/100</f>
        <v>2.15</v>
      </c>
      <c r="F45" s="10">
        <f>B45*110/100</f>
        <v>11</v>
      </c>
      <c r="G45" s="5"/>
      <c r="H45" s="5"/>
      <c r="I45" s="1"/>
    </row>
    <row r="46" spans="1:9">
      <c r="A46" s="1" t="s">
        <v>9</v>
      </c>
      <c r="B46" s="7">
        <v>6</v>
      </c>
      <c r="C46" s="10">
        <f>B46*0/100</f>
        <v>0</v>
      </c>
      <c r="D46" s="10">
        <f>B46*0/100</f>
        <v>0</v>
      </c>
      <c r="E46" s="7">
        <f>B46*99.8/100</f>
        <v>5.9879999999999995</v>
      </c>
      <c r="F46" s="10">
        <f>B46*379/100</f>
        <v>22.74</v>
      </c>
      <c r="G46" s="5"/>
      <c r="H46" s="5"/>
      <c r="I46" s="1"/>
    </row>
    <row r="47" spans="1:9">
      <c r="A47" s="2" t="s">
        <v>14</v>
      </c>
      <c r="B47" s="5"/>
      <c r="C47" s="5">
        <f>C45+C46</f>
        <v>0.34</v>
      </c>
      <c r="D47" s="5">
        <f t="shared" si="1"/>
        <v>0</v>
      </c>
      <c r="E47" s="5">
        <f>E45+E46</f>
        <v>8.1379999999999999</v>
      </c>
      <c r="F47" s="5">
        <f>F45+F46</f>
        <v>33.739999999999995</v>
      </c>
      <c r="G47" s="5">
        <v>150</v>
      </c>
      <c r="H47" s="5"/>
      <c r="I47" s="1" t="s">
        <v>205</v>
      </c>
    </row>
    <row r="48" spans="1:9">
      <c r="A48" s="2" t="s">
        <v>336</v>
      </c>
      <c r="B48" s="5"/>
      <c r="C48" s="5"/>
      <c r="D48" s="5"/>
      <c r="E48" s="5"/>
      <c r="F48" s="5"/>
      <c r="G48" s="5"/>
      <c r="H48" s="5"/>
      <c r="I48" s="1"/>
    </row>
    <row r="49" spans="1:9">
      <c r="A49" s="3" t="s">
        <v>26</v>
      </c>
      <c r="B49" s="8">
        <v>30</v>
      </c>
      <c r="C49" s="7">
        <f>B49*1.8/100</f>
        <v>0.54</v>
      </c>
      <c r="D49" s="7">
        <f>B49*0.1/100</f>
        <v>0.03</v>
      </c>
      <c r="E49" s="7">
        <f>B49*4.7/100</f>
        <v>1.41</v>
      </c>
      <c r="F49" s="7">
        <f>B49*27/100</f>
        <v>8.1</v>
      </c>
      <c r="G49" s="7"/>
      <c r="H49" s="7"/>
      <c r="I49" s="1"/>
    </row>
    <row r="50" spans="1:9">
      <c r="A50" s="3" t="s">
        <v>264</v>
      </c>
      <c r="B50" s="10">
        <v>20</v>
      </c>
      <c r="C50" s="10">
        <f>B50*0.8/100</f>
        <v>0.16</v>
      </c>
      <c r="D50" s="10">
        <f>B50*0.1/100</f>
        <v>0.02</v>
      </c>
      <c r="E50" s="10">
        <f>B50*3.4/100</f>
        <v>0.68</v>
      </c>
      <c r="F50" s="10">
        <f>B50*14/100</f>
        <v>2.8</v>
      </c>
      <c r="G50" s="5"/>
      <c r="H50" s="5"/>
      <c r="I50" s="1"/>
    </row>
    <row r="51" spans="1:9">
      <c r="A51" s="3" t="s">
        <v>330</v>
      </c>
      <c r="B51" s="10">
        <v>10</v>
      </c>
      <c r="C51" s="10">
        <f>B51*1.3/100</f>
        <v>0.13</v>
      </c>
      <c r="D51" s="10">
        <f>B51*0/100</f>
        <v>0</v>
      </c>
      <c r="E51" s="10">
        <f>B51*3.5/100</f>
        <v>0.35</v>
      </c>
      <c r="F51" s="10">
        <f>B51*19/100</f>
        <v>1.9</v>
      </c>
      <c r="G51" s="5"/>
      <c r="H51" s="5"/>
      <c r="I51" s="1"/>
    </row>
    <row r="52" spans="1:9">
      <c r="A52" s="3" t="s">
        <v>327</v>
      </c>
      <c r="B52" s="7">
        <v>5</v>
      </c>
      <c r="C52" s="7">
        <f>B52*0/100</f>
        <v>0</v>
      </c>
      <c r="D52" s="7">
        <f>B52*99.9/100</f>
        <v>4.9950000000000001</v>
      </c>
      <c r="E52" s="7">
        <f>B52*0/100</f>
        <v>0</v>
      </c>
      <c r="F52" s="7">
        <f>B52*899/100</f>
        <v>44.95</v>
      </c>
      <c r="G52" s="5"/>
      <c r="H52" s="5"/>
      <c r="I52" s="1"/>
    </row>
    <row r="53" spans="1:9">
      <c r="A53" s="2" t="s">
        <v>14</v>
      </c>
      <c r="B53" s="5"/>
      <c r="C53" s="5">
        <f>C49+C50+C51+C52</f>
        <v>0.83000000000000007</v>
      </c>
      <c r="D53" s="5">
        <f>D49+D50+D51+D52</f>
        <v>5.0449999999999999</v>
      </c>
      <c r="E53" s="5">
        <f>E49+E50+E51+E52</f>
        <v>2.44</v>
      </c>
      <c r="F53" s="5">
        <f>F49+F50+F51+F52</f>
        <v>57.75</v>
      </c>
      <c r="G53" s="5">
        <v>65</v>
      </c>
      <c r="H53" s="5"/>
      <c r="I53" s="1" t="s">
        <v>260</v>
      </c>
    </row>
    <row r="54" spans="1:9">
      <c r="A54" s="1" t="s">
        <v>32</v>
      </c>
      <c r="B54" s="5">
        <v>34</v>
      </c>
      <c r="C54" s="5">
        <f>B54*6.6/100</f>
        <v>2.2439999999999998</v>
      </c>
      <c r="D54" s="5">
        <f>B54*1.2/100</f>
        <v>0.40799999999999997</v>
      </c>
      <c r="E54" s="5">
        <f>B54*34.2/100</f>
        <v>11.628000000000002</v>
      </c>
      <c r="F54" s="5">
        <f>B54*181/100</f>
        <v>61.54</v>
      </c>
      <c r="G54" s="5">
        <v>34</v>
      </c>
      <c r="H54" s="5"/>
      <c r="I54" s="1"/>
    </row>
    <row r="55" spans="1:9">
      <c r="A55" s="2" t="s">
        <v>76</v>
      </c>
      <c r="B55" s="5"/>
      <c r="C55" s="5">
        <f>C30+C38+C43+C47+C53+C54</f>
        <v>25.820999999999998</v>
      </c>
      <c r="D55" s="5">
        <f>D30+D38+D43+D53+D54</f>
        <v>28.772000000000006</v>
      </c>
      <c r="E55" s="5">
        <f>E30+E38+E43+E47+E53+E54</f>
        <v>56.651999999999994</v>
      </c>
      <c r="F55" s="21">
        <f>F30+F38+F43+F47+F53+F54</f>
        <v>462.36585365853665</v>
      </c>
      <c r="G55" s="5">
        <v>579</v>
      </c>
      <c r="H55" s="5"/>
      <c r="I55" s="1"/>
    </row>
    <row r="56" spans="1:9">
      <c r="A56" s="1" t="s">
        <v>196</v>
      </c>
      <c r="B56" s="7">
        <v>2.2999999999999998</v>
      </c>
      <c r="C56" s="10"/>
      <c r="D56" s="10"/>
      <c r="E56" s="7"/>
      <c r="F56" s="10"/>
      <c r="G56" s="7"/>
      <c r="H56" s="7"/>
      <c r="I56" s="1"/>
    </row>
    <row r="57" spans="1:9" ht="15.75">
      <c r="A57" s="22" t="s">
        <v>276</v>
      </c>
      <c r="B57" s="16"/>
      <c r="C57" s="16"/>
      <c r="D57" s="16"/>
      <c r="E57" s="16"/>
      <c r="F57" s="19"/>
      <c r="G57" s="7"/>
      <c r="H57" s="7"/>
      <c r="I57" s="1"/>
    </row>
    <row r="58" spans="1:9" ht="15.75">
      <c r="A58" s="22" t="s">
        <v>316</v>
      </c>
      <c r="B58" s="16"/>
      <c r="C58" s="16"/>
      <c r="D58" s="16"/>
      <c r="E58" s="16"/>
      <c r="F58" s="19"/>
      <c r="G58" s="7"/>
      <c r="H58" s="7"/>
      <c r="I58" s="1"/>
    </row>
    <row r="59" spans="1:9">
      <c r="A59" s="1" t="s">
        <v>116</v>
      </c>
      <c r="B59" s="8">
        <v>1</v>
      </c>
      <c r="C59" s="10">
        <f>B59*24.2/100</f>
        <v>0.24199999999999999</v>
      </c>
      <c r="D59" s="10">
        <f>B59*17.5/100</f>
        <v>0.17499999999999999</v>
      </c>
      <c r="E59" s="10">
        <f>B59*27.9/100</f>
        <v>0.27899999999999997</v>
      </c>
      <c r="F59" s="10">
        <f>B59*373/100</f>
        <v>3.73</v>
      </c>
      <c r="G59" s="5"/>
      <c r="H59" s="5"/>
      <c r="I59" s="1"/>
    </row>
    <row r="60" spans="1:9">
      <c r="A60" s="1" t="s">
        <v>99</v>
      </c>
      <c r="B60" s="8">
        <v>130</v>
      </c>
      <c r="C60" s="10">
        <f>B60*2.8/100</f>
        <v>3.64</v>
      </c>
      <c r="D60" s="10">
        <f>B60*3.5/100</f>
        <v>4.55</v>
      </c>
      <c r="E60" s="10">
        <f>B60*4.7/100</f>
        <v>6.11</v>
      </c>
      <c r="F60" s="10">
        <f>B60*61/100</f>
        <v>79.3</v>
      </c>
      <c r="G60" s="5"/>
      <c r="H60" s="5"/>
      <c r="I60" s="1"/>
    </row>
    <row r="61" spans="1:9">
      <c r="A61" s="1" t="s">
        <v>9</v>
      </c>
      <c r="B61" s="8">
        <v>6</v>
      </c>
      <c r="C61" s="10">
        <f>B61*0/100</f>
        <v>0</v>
      </c>
      <c r="D61" s="10">
        <f>B61*0/100</f>
        <v>0</v>
      </c>
      <c r="E61" s="10">
        <f>B61*99.8/100</f>
        <v>5.9879999999999995</v>
      </c>
      <c r="F61" s="10">
        <f t="shared" ref="F61" si="2">B61*379/100</f>
        <v>22.74</v>
      </c>
      <c r="G61" s="5"/>
      <c r="H61" s="5"/>
      <c r="I61" s="1"/>
    </row>
    <row r="62" spans="1:9">
      <c r="A62" s="2" t="s">
        <v>14</v>
      </c>
      <c r="B62" s="5"/>
      <c r="C62" s="5">
        <f>C59+C60+C61</f>
        <v>3.8820000000000001</v>
      </c>
      <c r="D62" s="5">
        <f>D59+D60+D61</f>
        <v>4.7249999999999996</v>
      </c>
      <c r="E62" s="5">
        <f>E59+E60+E61</f>
        <v>12.376999999999999</v>
      </c>
      <c r="F62" s="5">
        <f>F59+F60+F61</f>
        <v>105.77</v>
      </c>
      <c r="G62" s="5">
        <v>150</v>
      </c>
      <c r="H62" s="5"/>
      <c r="I62" s="1" t="s">
        <v>217</v>
      </c>
    </row>
    <row r="63" spans="1:9">
      <c r="A63" s="2" t="s">
        <v>359</v>
      </c>
      <c r="B63" s="16"/>
      <c r="C63" s="16"/>
      <c r="D63" s="16"/>
      <c r="E63" s="16"/>
      <c r="F63" s="17"/>
      <c r="G63" s="5"/>
      <c r="H63" s="5"/>
      <c r="I63" s="1"/>
    </row>
    <row r="64" spans="1:9">
      <c r="A64" s="3" t="s">
        <v>48</v>
      </c>
      <c r="B64" s="8">
        <v>35</v>
      </c>
      <c r="C64" s="7">
        <f>B64*10.3/100</f>
        <v>3.605</v>
      </c>
      <c r="D64" s="7">
        <f>B64*1.1/100</f>
        <v>0.38500000000000001</v>
      </c>
      <c r="E64" s="7">
        <f>B64*69/100</f>
        <v>24.15</v>
      </c>
      <c r="F64" s="7">
        <f>B64*334/100</f>
        <v>116.9</v>
      </c>
      <c r="G64" s="7"/>
      <c r="H64" s="7"/>
      <c r="I64" s="1"/>
    </row>
    <row r="65" spans="1:9">
      <c r="A65" s="3" t="s">
        <v>7</v>
      </c>
      <c r="B65" s="7">
        <v>25</v>
      </c>
      <c r="C65" s="7">
        <f>B65*2.8/100</f>
        <v>0.7</v>
      </c>
      <c r="D65" s="7">
        <f>B65*3.5/100</f>
        <v>0.875</v>
      </c>
      <c r="E65" s="7">
        <f>B65*4.7/100</f>
        <v>1.175</v>
      </c>
      <c r="F65" s="7">
        <f>B65*61/100</f>
        <v>15.25</v>
      </c>
      <c r="G65" s="7"/>
      <c r="H65" s="7"/>
      <c r="I65" s="1"/>
    </row>
    <row r="66" spans="1:9">
      <c r="A66" s="3" t="s">
        <v>8</v>
      </c>
      <c r="B66" s="8">
        <v>2</v>
      </c>
      <c r="C66" s="7">
        <f>B66*0.7/100</f>
        <v>1.3999999999999999E-2</v>
      </c>
      <c r="D66" s="7">
        <f>B66*372.5/100</f>
        <v>7.45</v>
      </c>
      <c r="E66" s="7">
        <f>B66*1/100</f>
        <v>0.02</v>
      </c>
      <c r="F66" s="7">
        <f>B66*709/100</f>
        <v>14.18</v>
      </c>
      <c r="G66" s="7"/>
      <c r="H66" s="7"/>
      <c r="I66" s="1"/>
    </row>
    <row r="67" spans="1:9">
      <c r="A67" s="3" t="s">
        <v>57</v>
      </c>
      <c r="B67" s="7">
        <v>2</v>
      </c>
      <c r="C67" s="7">
        <f>B67*0/100</f>
        <v>0</v>
      </c>
      <c r="D67" s="7">
        <f>B67*99.9/100</f>
        <v>1.9980000000000002</v>
      </c>
      <c r="E67" s="7">
        <f>B67*0/100</f>
        <v>0</v>
      </c>
      <c r="F67" s="7">
        <f>B67*899/100</f>
        <v>17.98</v>
      </c>
      <c r="G67" s="7"/>
      <c r="H67" s="7"/>
      <c r="I67" s="1"/>
    </row>
    <row r="68" spans="1:9">
      <c r="A68" s="3" t="s">
        <v>9</v>
      </c>
      <c r="B68" s="8">
        <v>8</v>
      </c>
      <c r="C68" s="7">
        <f>B68*0/100</f>
        <v>0</v>
      </c>
      <c r="D68" s="7">
        <f>B68*0/100</f>
        <v>0</v>
      </c>
      <c r="E68" s="7">
        <f>B68*99.8/100</f>
        <v>7.984</v>
      </c>
      <c r="F68" s="7">
        <f>B68*379/100</f>
        <v>30.32</v>
      </c>
      <c r="G68" s="7"/>
      <c r="H68" s="7"/>
      <c r="I68" s="1"/>
    </row>
    <row r="69" spans="1:9">
      <c r="A69" s="3" t="s">
        <v>279</v>
      </c>
      <c r="B69" s="10">
        <v>1</v>
      </c>
      <c r="C69" s="10">
        <v>0</v>
      </c>
      <c r="D69" s="10">
        <v>0</v>
      </c>
      <c r="E69" s="10">
        <v>0</v>
      </c>
      <c r="F69" s="10">
        <v>0</v>
      </c>
      <c r="G69" s="7"/>
      <c r="H69" s="7"/>
      <c r="I69" s="1"/>
    </row>
    <row r="70" spans="1:9">
      <c r="A70" s="3" t="s">
        <v>21</v>
      </c>
      <c r="B70" s="8">
        <v>9</v>
      </c>
      <c r="C70" s="7">
        <f>B70*12.7/40</f>
        <v>2.8574999999999999</v>
      </c>
      <c r="D70" s="7">
        <f>B70*11.5/40</f>
        <v>2.5874999999999999</v>
      </c>
      <c r="E70" s="7">
        <f>B70*0.7/40</f>
        <v>0.1575</v>
      </c>
      <c r="F70" s="7">
        <f>B70*157/40</f>
        <v>35.325000000000003</v>
      </c>
      <c r="G70" s="7"/>
      <c r="H70" s="7"/>
      <c r="I70" s="1"/>
    </row>
    <row r="71" spans="1:9">
      <c r="A71" s="3" t="s">
        <v>360</v>
      </c>
      <c r="B71" s="8">
        <v>25</v>
      </c>
      <c r="C71" s="10">
        <f>B71*16.7/100</f>
        <v>4.1749999999999998</v>
      </c>
      <c r="D71" s="10">
        <f>B71*9/100</f>
        <v>2.25</v>
      </c>
      <c r="E71" s="10">
        <f>B71*1.9/100</f>
        <v>0.47499999999999998</v>
      </c>
      <c r="F71" s="7">
        <f>B71*88/100</f>
        <v>22</v>
      </c>
      <c r="G71" s="5"/>
      <c r="H71" s="5"/>
      <c r="I71" s="1"/>
    </row>
    <row r="72" spans="1:9">
      <c r="A72" s="2" t="s">
        <v>14</v>
      </c>
      <c r="B72" s="16"/>
      <c r="C72" s="16">
        <f>C64+C65+C66+C67+C68+C71</f>
        <v>8.4939999999999998</v>
      </c>
      <c r="D72" s="16">
        <f>D64+D65+D66+D67+D68+D71</f>
        <v>12.958000000000002</v>
      </c>
      <c r="E72" s="16">
        <f>E64+E65+E66+E67+E68+E71</f>
        <v>33.804000000000002</v>
      </c>
      <c r="F72" s="17">
        <f>F64+F65+F66+F67+F68+F71</f>
        <v>216.63</v>
      </c>
      <c r="G72" s="5">
        <v>100</v>
      </c>
      <c r="H72" s="5"/>
      <c r="I72" s="1" t="s">
        <v>317</v>
      </c>
    </row>
    <row r="73" spans="1:9">
      <c r="A73" s="2" t="s">
        <v>282</v>
      </c>
      <c r="B73" s="16"/>
      <c r="C73" s="16">
        <f>C62+C72</f>
        <v>12.375999999999999</v>
      </c>
      <c r="D73" s="16">
        <f>D62+D72</f>
        <v>17.683</v>
      </c>
      <c r="E73" s="16">
        <f>E62+E72</f>
        <v>46.180999999999997</v>
      </c>
      <c r="F73" s="17">
        <f>F62+F72</f>
        <v>322.39999999999998</v>
      </c>
      <c r="G73" s="5">
        <v>250</v>
      </c>
      <c r="H73" s="10"/>
      <c r="I73" s="3"/>
    </row>
    <row r="74" spans="1:9">
      <c r="A74" s="2" t="s">
        <v>280</v>
      </c>
      <c r="B74" s="16"/>
      <c r="C74" s="16">
        <f>C17+C19+C55+C73</f>
        <v>55.233999999999995</v>
      </c>
      <c r="D74" s="16">
        <f>D17+D19+D55+D73</f>
        <v>67.415999999999997</v>
      </c>
      <c r="E74" s="16">
        <f>E17+E19+E55+E73</f>
        <v>173.79300000000001</v>
      </c>
      <c r="F74" s="17">
        <f>F17+F19+F55+F73</f>
        <v>1435.9158536585369</v>
      </c>
      <c r="G74" s="5"/>
      <c r="H74" s="10"/>
      <c r="I74" s="3"/>
    </row>
    <row r="75" spans="1:9">
      <c r="A75" s="2"/>
      <c r="B75" s="16"/>
      <c r="C75" s="16"/>
      <c r="D75" s="16"/>
      <c r="E75" s="16"/>
      <c r="F75" s="17"/>
      <c r="G75" s="5"/>
      <c r="H75" s="10"/>
      <c r="I75" s="3"/>
    </row>
    <row r="76" spans="1:9">
      <c r="A76" s="2" t="s">
        <v>318</v>
      </c>
      <c r="B76" s="16"/>
      <c r="C76" s="16"/>
      <c r="D76" s="16"/>
      <c r="E76" s="16"/>
      <c r="F76" s="17"/>
      <c r="G76" s="5"/>
      <c r="H76" s="10"/>
      <c r="I76" s="3"/>
    </row>
  </sheetData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46" workbookViewId="0">
      <selection activeCell="A63" sqref="A63"/>
    </sheetView>
  </sheetViews>
  <sheetFormatPr defaultRowHeight="15"/>
  <cols>
    <col min="1" max="1" width="44.5703125" customWidth="1"/>
    <col min="2" max="2" width="8.85546875" customWidth="1"/>
    <col min="4" max="4" width="8.7109375" customWidth="1"/>
    <col min="5" max="5" width="8.85546875" customWidth="1"/>
    <col min="6" max="6" width="8" customWidth="1"/>
    <col min="7" max="7" width="14.5703125" customWidth="1"/>
    <col min="8" max="8" width="8" customWidth="1"/>
    <col min="9" max="9" width="14" customWidth="1"/>
  </cols>
  <sheetData>
    <row r="1" spans="1:9">
      <c r="A1" s="2"/>
      <c r="B1" s="5" t="s">
        <v>268</v>
      </c>
      <c r="C1" s="5" t="s">
        <v>269</v>
      </c>
      <c r="D1" s="5" t="s">
        <v>270</v>
      </c>
      <c r="E1" s="5" t="s">
        <v>271</v>
      </c>
      <c r="F1" s="5" t="s">
        <v>272</v>
      </c>
      <c r="G1" s="5" t="s">
        <v>273</v>
      </c>
      <c r="H1" s="5" t="s">
        <v>166</v>
      </c>
      <c r="I1" s="2" t="s">
        <v>197</v>
      </c>
    </row>
    <row r="2" spans="1:9">
      <c r="A2" s="1" t="s">
        <v>36</v>
      </c>
      <c r="B2" s="7"/>
      <c r="C2" s="10"/>
      <c r="D2" s="10"/>
      <c r="E2" s="7"/>
      <c r="F2" s="10"/>
      <c r="G2" s="7"/>
      <c r="H2" s="7"/>
      <c r="I2" s="1"/>
    </row>
    <row r="3" spans="1:9">
      <c r="A3" s="25" t="s">
        <v>361</v>
      </c>
      <c r="B3" s="7"/>
      <c r="C3" s="10"/>
      <c r="D3" s="10"/>
      <c r="E3" s="7"/>
      <c r="F3" s="10"/>
      <c r="G3" s="7"/>
      <c r="H3" s="7"/>
      <c r="I3" s="1"/>
    </row>
    <row r="4" spans="1:9">
      <c r="A4" s="1" t="s">
        <v>66</v>
      </c>
      <c r="B4" s="8">
        <v>10</v>
      </c>
      <c r="C4" s="10">
        <f>B4*7/100</f>
        <v>0.7</v>
      </c>
      <c r="D4" s="10">
        <f>B4*1/100</f>
        <v>0.1</v>
      </c>
      <c r="E4" s="7">
        <f>B4*71.4/100</f>
        <v>7.14</v>
      </c>
      <c r="F4" s="10">
        <f>B4*330/100</f>
        <v>33</v>
      </c>
      <c r="G4" s="7"/>
      <c r="H4" s="7"/>
      <c r="I4" s="1"/>
    </row>
    <row r="5" spans="1:9">
      <c r="A5" s="1" t="s">
        <v>7</v>
      </c>
      <c r="B5" s="8">
        <v>130</v>
      </c>
      <c r="C5" s="10">
        <f>B5*3.5/100</f>
        <v>4.55</v>
      </c>
      <c r="D5" s="10">
        <f>B5*3.5/100</f>
        <v>4.55</v>
      </c>
      <c r="E5" s="7">
        <f>B5*4.7/100</f>
        <v>6.11</v>
      </c>
      <c r="F5" s="10">
        <f>B5*61/100</f>
        <v>79.3</v>
      </c>
      <c r="G5" s="7"/>
      <c r="H5" s="7"/>
      <c r="I5" s="1"/>
    </row>
    <row r="6" spans="1:9">
      <c r="A6" s="1" t="s">
        <v>81</v>
      </c>
      <c r="B6" s="8">
        <v>10</v>
      </c>
      <c r="C6" s="10">
        <f>B6*10.7/100</f>
        <v>1.07</v>
      </c>
      <c r="D6" s="10">
        <f>B6*1.3/100</f>
        <v>0.13</v>
      </c>
      <c r="E6" s="7">
        <f>B6*68.4/100</f>
        <v>6.84</v>
      </c>
      <c r="F6" s="10">
        <f>B6*335/100</f>
        <v>33.5</v>
      </c>
      <c r="G6" s="7"/>
      <c r="H6" s="7"/>
      <c r="I6" s="1"/>
    </row>
    <row r="7" spans="1:9">
      <c r="A7" s="1" t="s">
        <v>9</v>
      </c>
      <c r="B7" s="8">
        <v>7</v>
      </c>
      <c r="C7" s="10">
        <f>B7*0/100</f>
        <v>0</v>
      </c>
      <c r="D7" s="10">
        <f>B7*0/100</f>
        <v>0</v>
      </c>
      <c r="E7" s="7">
        <f>B7*99.8/100</f>
        <v>6.9860000000000007</v>
      </c>
      <c r="F7" s="10">
        <f>B7*379/100</f>
        <v>26.53</v>
      </c>
      <c r="G7" s="7"/>
      <c r="H7" s="7"/>
      <c r="I7" s="1"/>
    </row>
    <row r="8" spans="1:9">
      <c r="A8" s="1" t="s">
        <v>8</v>
      </c>
      <c r="B8" s="8">
        <v>3</v>
      </c>
      <c r="C8" s="10">
        <f>B8*0.7/100</f>
        <v>2.0999999999999998E-2</v>
      </c>
      <c r="D8" s="10">
        <f t="shared" ref="D8" si="0">B8*72.5/100</f>
        <v>2.1749999999999998</v>
      </c>
      <c r="E8" s="7">
        <f>B8*1/100</f>
        <v>0.03</v>
      </c>
      <c r="F8" s="10">
        <f>B8*709/100</f>
        <v>21.27</v>
      </c>
      <c r="G8" s="7"/>
      <c r="H8" s="7"/>
      <c r="I8" s="1"/>
    </row>
    <row r="9" spans="1:9">
      <c r="A9" s="2" t="s">
        <v>14</v>
      </c>
      <c r="B9" s="5"/>
      <c r="C9" s="5">
        <f>C4+C5+C6+C7+C8</f>
        <v>6.3410000000000002</v>
      </c>
      <c r="D9" s="5">
        <f>D4+D5+D6+D7+D8</f>
        <v>6.9549999999999992</v>
      </c>
      <c r="E9" s="5">
        <f>E4+E5+E6+E7+E8</f>
        <v>27.106000000000002</v>
      </c>
      <c r="F9" s="5">
        <f>F4+F5+F6+F7+F8</f>
        <v>193.60000000000002</v>
      </c>
      <c r="G9" s="5">
        <v>150</v>
      </c>
      <c r="H9" s="5"/>
      <c r="I9" s="1" t="s">
        <v>260</v>
      </c>
    </row>
    <row r="10" spans="1:9">
      <c r="A10" s="2" t="s">
        <v>168</v>
      </c>
      <c r="B10" s="7"/>
      <c r="C10" s="10"/>
      <c r="D10" s="10"/>
      <c r="E10" s="7"/>
      <c r="F10" s="10"/>
      <c r="G10" s="5"/>
      <c r="H10" s="5"/>
      <c r="I10" s="1"/>
    </row>
    <row r="11" spans="1:9">
      <c r="A11" s="1" t="s">
        <v>39</v>
      </c>
      <c r="B11" s="8">
        <v>0.5</v>
      </c>
      <c r="C11" s="10">
        <f>B11*24.2/100</f>
        <v>0.121</v>
      </c>
      <c r="D11" s="10">
        <f>B11*17.5/100</f>
        <v>8.7499999999999994E-2</v>
      </c>
      <c r="E11" s="7">
        <f>B11*27.9/100</f>
        <v>0.13949999999999999</v>
      </c>
      <c r="F11" s="10">
        <f>B11*373/100</f>
        <v>1.865</v>
      </c>
      <c r="G11" s="5"/>
      <c r="H11" s="5"/>
      <c r="I11" s="1"/>
    </row>
    <row r="12" spans="1:9">
      <c r="A12" s="1" t="s">
        <v>99</v>
      </c>
      <c r="B12" s="7">
        <v>130</v>
      </c>
      <c r="C12" s="10">
        <f>B12*2.8/100</f>
        <v>3.64</v>
      </c>
      <c r="D12" s="10">
        <f>B12*3.5/100</f>
        <v>4.55</v>
      </c>
      <c r="E12" s="7">
        <f>B12*4.7/100</f>
        <v>6.11</v>
      </c>
      <c r="F12" s="10">
        <f>B12*61/100</f>
        <v>79.3</v>
      </c>
      <c r="G12" s="5"/>
      <c r="H12" s="5"/>
      <c r="I12" s="1"/>
    </row>
    <row r="13" spans="1:9">
      <c r="A13" s="1" t="s">
        <v>9</v>
      </c>
      <c r="B13" s="8">
        <v>5</v>
      </c>
      <c r="C13" s="10">
        <f>B13*0/100</f>
        <v>0</v>
      </c>
      <c r="D13" s="10">
        <f>B13*0/100</f>
        <v>0</v>
      </c>
      <c r="E13" s="7">
        <f>B13*99.8/100</f>
        <v>4.99</v>
      </c>
      <c r="F13" s="10">
        <f>B13*379/100</f>
        <v>18.95</v>
      </c>
      <c r="G13" s="5"/>
      <c r="H13" s="5"/>
      <c r="I13" s="1"/>
    </row>
    <row r="14" spans="1:9">
      <c r="A14" s="2" t="s">
        <v>14</v>
      </c>
      <c r="B14" s="5"/>
      <c r="C14" s="5">
        <f>C11+C12+C13</f>
        <v>3.7610000000000001</v>
      </c>
      <c r="D14" s="5">
        <f>D11+D12+D13</f>
        <v>4.6375000000000002</v>
      </c>
      <c r="E14" s="5">
        <f>E11+E12+E13</f>
        <v>11.2395</v>
      </c>
      <c r="F14" s="5">
        <f>F11+F12+F13</f>
        <v>100.11499999999999</v>
      </c>
      <c r="G14" s="5">
        <v>150</v>
      </c>
      <c r="H14" s="5"/>
      <c r="I14" s="1"/>
    </row>
    <row r="15" spans="1:9">
      <c r="A15" s="1" t="s">
        <v>111</v>
      </c>
      <c r="B15" s="7">
        <v>50</v>
      </c>
      <c r="C15" s="10">
        <f>B15*7.7/100</f>
        <v>3.85</v>
      </c>
      <c r="D15" s="10">
        <f>B15*3/100</f>
        <v>1.5</v>
      </c>
      <c r="E15" s="7">
        <f>B15*49.8/100</f>
        <v>24.9</v>
      </c>
      <c r="F15" s="10">
        <f>B15*262/100</f>
        <v>131</v>
      </c>
      <c r="G15" s="5">
        <v>50</v>
      </c>
      <c r="H15" s="5"/>
      <c r="I15" s="1"/>
    </row>
    <row r="16" spans="1:9">
      <c r="A16" s="1" t="s">
        <v>8</v>
      </c>
      <c r="B16" s="7">
        <v>5</v>
      </c>
      <c r="C16" s="10">
        <f>B16*0.7/100</f>
        <v>3.5000000000000003E-2</v>
      </c>
      <c r="D16" s="10">
        <f t="shared" ref="D16" si="1">B16*72.5/100</f>
        <v>3.625</v>
      </c>
      <c r="E16" s="7">
        <f>B16*1/100</f>
        <v>0.05</v>
      </c>
      <c r="F16" s="10">
        <f>B16*709/100</f>
        <v>35.450000000000003</v>
      </c>
      <c r="G16" s="5">
        <v>5</v>
      </c>
      <c r="H16" s="5"/>
      <c r="I16" s="1"/>
    </row>
    <row r="17" spans="1:9">
      <c r="A17" s="2" t="s">
        <v>118</v>
      </c>
      <c r="B17" s="5"/>
      <c r="C17" s="5">
        <f>C9+C14+C15+C16</f>
        <v>13.987</v>
      </c>
      <c r="D17" s="5">
        <f>D9+D14+D15+D16</f>
        <v>16.717500000000001</v>
      </c>
      <c r="E17" s="5">
        <f>E9+E14+E15+E16</f>
        <v>63.295499999999997</v>
      </c>
      <c r="F17" s="5">
        <f>F9+F14+F15+F16</f>
        <v>460.16500000000002</v>
      </c>
      <c r="G17" s="5">
        <v>355</v>
      </c>
      <c r="H17" s="5"/>
      <c r="I17" s="1" t="s">
        <v>208</v>
      </c>
    </row>
    <row r="18" spans="1:9" ht="13.5" customHeight="1">
      <c r="A18" s="1"/>
      <c r="B18" s="7"/>
      <c r="C18" s="10"/>
      <c r="D18" s="10"/>
      <c r="E18" s="7"/>
      <c r="F18" s="10"/>
      <c r="G18" s="5"/>
      <c r="H18" s="5"/>
      <c r="I18" s="1"/>
    </row>
    <row r="19" spans="1:9">
      <c r="A19" s="2" t="s">
        <v>191</v>
      </c>
      <c r="B19" s="5">
        <v>200</v>
      </c>
      <c r="C19" s="5">
        <f>B19*5/100</f>
        <v>10</v>
      </c>
      <c r="D19" s="5">
        <f>B19*1.5/100</f>
        <v>3</v>
      </c>
      <c r="E19" s="5">
        <f>B19*8.5/100</f>
        <v>17</v>
      </c>
      <c r="F19" s="5">
        <f>B19*51/100</f>
        <v>102</v>
      </c>
      <c r="G19" s="5">
        <v>200</v>
      </c>
      <c r="H19" s="5"/>
      <c r="I19" s="1"/>
    </row>
    <row r="20" spans="1:9" ht="10.5" customHeight="1">
      <c r="A20" s="1"/>
      <c r="B20" s="7"/>
      <c r="C20" s="10"/>
      <c r="D20" s="10"/>
      <c r="E20" s="7"/>
      <c r="F20" s="10"/>
      <c r="G20" s="7"/>
      <c r="H20" s="7"/>
      <c r="I20" s="1"/>
    </row>
    <row r="21" spans="1:9">
      <c r="A21" s="1" t="s">
        <v>33</v>
      </c>
      <c r="B21" s="7"/>
      <c r="C21" s="10"/>
      <c r="D21" s="10"/>
      <c r="E21" s="7"/>
      <c r="F21" s="10"/>
      <c r="G21" s="7"/>
      <c r="H21" s="7"/>
      <c r="I21" s="1"/>
    </row>
    <row r="22" spans="1:9">
      <c r="A22" s="2" t="s">
        <v>170</v>
      </c>
      <c r="B22" s="7"/>
      <c r="C22" s="10"/>
      <c r="D22" s="10"/>
      <c r="E22" s="7"/>
      <c r="F22" s="10"/>
      <c r="G22" s="7"/>
      <c r="H22" s="7"/>
      <c r="I22" s="1"/>
    </row>
    <row r="23" spans="1:9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>
      <c r="A24" s="1" t="s">
        <v>15</v>
      </c>
      <c r="B24" s="8">
        <v>40</v>
      </c>
      <c r="C24" s="10">
        <f>B24*2.8/100</f>
        <v>1.1200000000000001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>
      <c r="A25" s="1" t="s">
        <v>20</v>
      </c>
      <c r="B25" s="8">
        <v>11</v>
      </c>
      <c r="C25" s="10">
        <f>B25*1.4/100</f>
        <v>0.154</v>
      </c>
      <c r="D25" s="10">
        <f>B25*0/100</f>
        <v>0</v>
      </c>
      <c r="E25" s="7">
        <f>B25*9.1/100</f>
        <v>1.0009999999999999</v>
      </c>
      <c r="F25" s="10">
        <f>B25*41/100</f>
        <v>4.51</v>
      </c>
      <c r="G25" s="7"/>
      <c r="H25" s="7"/>
      <c r="I25" s="1"/>
    </row>
    <row r="26" spans="1:9">
      <c r="A26" s="1" t="s">
        <v>171</v>
      </c>
      <c r="B26" s="8">
        <v>11</v>
      </c>
      <c r="C26" s="10">
        <f>B26*1.3/100</f>
        <v>0.14300000000000002</v>
      </c>
      <c r="D26" s="10">
        <f>B26*0.1/100</f>
        <v>1.1000000000000001E-2</v>
      </c>
      <c r="E26" s="7">
        <f>B26*8.4/100</f>
        <v>0.92400000000000004</v>
      </c>
      <c r="F26" s="10">
        <f>B26*34/100</f>
        <v>3.74</v>
      </c>
      <c r="G26" s="7"/>
      <c r="H26" s="7"/>
      <c r="I26" s="1"/>
    </row>
    <row r="27" spans="1:9">
      <c r="A27" s="1" t="s">
        <v>28</v>
      </c>
      <c r="B27" s="10">
        <v>2</v>
      </c>
      <c r="C27" s="10">
        <f>B27*4.8/100</f>
        <v>9.6000000000000002E-2</v>
      </c>
      <c r="D27" s="10">
        <f>B27*0/100</f>
        <v>0</v>
      </c>
      <c r="E27" s="7">
        <f>B27*19/100</f>
        <v>0.38</v>
      </c>
      <c r="F27" s="10">
        <f>B27*99/100</f>
        <v>1.98</v>
      </c>
      <c r="G27" s="7"/>
      <c r="H27" s="7"/>
      <c r="I27" s="1"/>
    </row>
    <row r="28" spans="1:9">
      <c r="A28" s="1" t="s">
        <v>8</v>
      </c>
      <c r="B28" s="8">
        <v>4</v>
      </c>
      <c r="C28" s="10">
        <f>B28*0.7/100</f>
        <v>2.7999999999999997E-2</v>
      </c>
      <c r="D28" s="10">
        <f>B28*72.5/100</f>
        <v>2.9</v>
      </c>
      <c r="E28" s="7">
        <f>B28*1/100</f>
        <v>0.04</v>
      </c>
      <c r="F28" s="10">
        <f>B28*709/100</f>
        <v>28.36</v>
      </c>
      <c r="G28" s="7"/>
      <c r="H28" s="7"/>
      <c r="I28" s="1"/>
    </row>
    <row r="29" spans="1:9">
      <c r="A29" s="1" t="s">
        <v>21</v>
      </c>
      <c r="B29" s="8">
        <v>4</v>
      </c>
      <c r="C29" s="10">
        <f>B29*12.7/100</f>
        <v>0.50800000000000001</v>
      </c>
      <c r="D29" s="10">
        <f>B29*11.5/100</f>
        <v>0.46</v>
      </c>
      <c r="E29" s="7">
        <f>B29*0.7/100</f>
        <v>2.7999999999999997E-2</v>
      </c>
      <c r="F29" s="10">
        <f>B29*157/100</f>
        <v>6.28</v>
      </c>
      <c r="G29" s="5"/>
      <c r="H29" s="5"/>
      <c r="I29" s="1"/>
    </row>
    <row r="30" spans="1:9">
      <c r="A30" s="2" t="s">
        <v>14</v>
      </c>
      <c r="B30" s="5"/>
      <c r="C30" s="5">
        <f>C23+C24+C25+C26+C27+C28+C29</f>
        <v>7.6289999999999996</v>
      </c>
      <c r="D30" s="5">
        <f>D23+D24+D25+D26+D27+D28+D29</f>
        <v>8.3310000000000013</v>
      </c>
      <c r="E30" s="5">
        <f>E24+E25+E26+E27+E28+E29</f>
        <v>9.2929999999999993</v>
      </c>
      <c r="F30" s="5">
        <f>F23+F24+F25+F26+F27+F28+F29</f>
        <v>142.27000000000001</v>
      </c>
      <c r="G30" s="5" t="s">
        <v>320</v>
      </c>
      <c r="H30" s="5"/>
      <c r="I30" s="1" t="s">
        <v>261</v>
      </c>
    </row>
    <row r="31" spans="1:9">
      <c r="A31" s="2" t="s">
        <v>267</v>
      </c>
      <c r="B31" s="7"/>
      <c r="C31" s="10"/>
      <c r="D31" s="10"/>
      <c r="E31" s="7"/>
      <c r="F31" s="10"/>
      <c r="G31" s="5"/>
      <c r="H31" s="5"/>
      <c r="I31" s="1"/>
    </row>
    <row r="32" spans="1:9">
      <c r="A32" s="1" t="s">
        <v>173</v>
      </c>
      <c r="B32" s="8">
        <v>65</v>
      </c>
      <c r="C32" s="10">
        <f>B32*17.9/100</f>
        <v>11.635</v>
      </c>
      <c r="D32" s="10">
        <f>B32*3.7/100</f>
        <v>2.4049999999999998</v>
      </c>
      <c r="E32" s="7">
        <f>B32*0/100</f>
        <v>0</v>
      </c>
      <c r="F32" s="10">
        <f>B32*105/100</f>
        <v>68.25</v>
      </c>
      <c r="G32" s="5"/>
      <c r="H32" s="5"/>
      <c r="I32" s="1"/>
    </row>
    <row r="33" spans="1:9">
      <c r="A33" s="1" t="s">
        <v>7</v>
      </c>
      <c r="B33" s="8">
        <v>20</v>
      </c>
      <c r="C33" s="10">
        <f>B33*2.8/100</f>
        <v>0.56000000000000005</v>
      </c>
      <c r="D33" s="10">
        <f>B33*3.5/100</f>
        <v>0.7</v>
      </c>
      <c r="E33" s="7">
        <f>B33*4.7/100</f>
        <v>0.94</v>
      </c>
      <c r="F33" s="10">
        <f>B33*61/100</f>
        <v>12.2</v>
      </c>
      <c r="G33" s="5"/>
      <c r="H33" s="5"/>
      <c r="I33" s="1"/>
    </row>
    <row r="34" spans="1:9">
      <c r="A34" s="1" t="s">
        <v>20</v>
      </c>
      <c r="B34" s="8">
        <v>22</v>
      </c>
      <c r="C34" s="10">
        <f>B34*1.4/100</f>
        <v>0.308</v>
      </c>
      <c r="D34" s="10">
        <f>B34*0/100</f>
        <v>0</v>
      </c>
      <c r="E34" s="7">
        <f>B34*9.1/100</f>
        <v>2.0019999999999998</v>
      </c>
      <c r="F34" s="10">
        <f>B34*41/100</f>
        <v>9.02</v>
      </c>
      <c r="G34" s="5"/>
      <c r="H34" s="5"/>
      <c r="I34" s="1"/>
    </row>
    <row r="35" spans="1:9">
      <c r="A35" s="1" t="s">
        <v>16</v>
      </c>
      <c r="B35" s="8">
        <v>22</v>
      </c>
      <c r="C35" s="10">
        <f>B35*1.3/100</f>
        <v>0.28600000000000003</v>
      </c>
      <c r="D35" s="10">
        <f>B35*0.1/100</f>
        <v>2.2000000000000002E-2</v>
      </c>
      <c r="E35" s="7">
        <f>B35*8.4/100</f>
        <v>1.8480000000000001</v>
      </c>
      <c r="F35" s="10">
        <f>B35*34/100</f>
        <v>7.48</v>
      </c>
      <c r="G35" s="5"/>
      <c r="H35" s="5"/>
      <c r="I35" s="1"/>
    </row>
    <row r="36" spans="1:9">
      <c r="A36" s="1" t="s">
        <v>21</v>
      </c>
      <c r="B36" s="8">
        <v>12</v>
      </c>
      <c r="C36" s="10">
        <f>B36*12.7/100</f>
        <v>1.5239999999999998</v>
      </c>
      <c r="D36" s="10">
        <f>B36*11.5/100</f>
        <v>1.38</v>
      </c>
      <c r="E36" s="7">
        <f>B36*0.7/100</f>
        <v>8.3999999999999991E-2</v>
      </c>
      <c r="F36" s="10">
        <f>B36*157/100</f>
        <v>18.84</v>
      </c>
      <c r="G36" s="5"/>
      <c r="H36" s="5"/>
      <c r="I36" s="1"/>
    </row>
    <row r="37" spans="1:9">
      <c r="A37" s="1" t="s">
        <v>123</v>
      </c>
      <c r="B37" s="8">
        <v>5</v>
      </c>
      <c r="C37" s="10">
        <f>B37*10.3/100</f>
        <v>0.51500000000000001</v>
      </c>
      <c r="D37" s="10">
        <f>B37*1.1/100</f>
        <v>5.5E-2</v>
      </c>
      <c r="E37" s="7">
        <f>B37*69/100</f>
        <v>3.45</v>
      </c>
      <c r="F37" s="10">
        <f>B37*334/100</f>
        <v>16.7</v>
      </c>
      <c r="G37" s="5"/>
      <c r="H37" s="5"/>
      <c r="I37" s="1"/>
    </row>
    <row r="38" spans="1:9">
      <c r="A38" s="1" t="s">
        <v>28</v>
      </c>
      <c r="B38" s="8">
        <v>2</v>
      </c>
      <c r="C38" s="10">
        <f>B38*4.8/100</f>
        <v>9.6000000000000002E-2</v>
      </c>
      <c r="D38" s="10">
        <f>B38*0/100</f>
        <v>0</v>
      </c>
      <c r="E38" s="7">
        <f>B38*19/100</f>
        <v>0.38</v>
      </c>
      <c r="F38" s="10">
        <f>B38*99/100</f>
        <v>1.98</v>
      </c>
      <c r="G38" s="5"/>
      <c r="H38" s="5"/>
      <c r="I38" s="1"/>
    </row>
    <row r="39" spans="1:9">
      <c r="A39" s="1" t="s">
        <v>8</v>
      </c>
      <c r="B39" s="8">
        <v>4</v>
      </c>
      <c r="C39" s="10">
        <f>B39*0.7/100</f>
        <v>2.7999999999999997E-2</v>
      </c>
      <c r="D39" s="10">
        <f t="shared" ref="D39" si="2">B39*72.5/100</f>
        <v>2.9</v>
      </c>
      <c r="E39" s="7">
        <f>B39*1/100</f>
        <v>0.04</v>
      </c>
      <c r="F39" s="10">
        <f>B39*709/100</f>
        <v>28.36</v>
      </c>
      <c r="G39" s="5"/>
      <c r="H39" s="5"/>
      <c r="I39" s="1"/>
    </row>
    <row r="40" spans="1:9">
      <c r="A40" s="1" t="s">
        <v>57</v>
      </c>
      <c r="B40" s="8">
        <v>2</v>
      </c>
      <c r="C40" s="10">
        <f>B40*0/100</f>
        <v>0</v>
      </c>
      <c r="D40" s="10">
        <f>B40*99.9/100</f>
        <v>1.9980000000000002</v>
      </c>
      <c r="E40" s="7">
        <f>B40*0/100</f>
        <v>0</v>
      </c>
      <c r="F40" s="10">
        <f>B40*899/100</f>
        <v>17.98</v>
      </c>
      <c r="G40" s="5"/>
      <c r="H40" s="5"/>
      <c r="I40" s="1"/>
    </row>
    <row r="41" spans="1:9">
      <c r="A41" s="2" t="s">
        <v>14</v>
      </c>
      <c r="B41" s="5"/>
      <c r="C41" s="5">
        <f>C32+C33+C34+C35+C36+C37+C38+C39+C40</f>
        <v>14.952</v>
      </c>
      <c r="D41" s="5">
        <f>D32+D33+D34+D35+D36+D37+D38+D39+D40</f>
        <v>9.4600000000000009</v>
      </c>
      <c r="E41" s="5">
        <f>E33+E34+E35+E36+E37+E38+E39+E40</f>
        <v>8.7439999999999998</v>
      </c>
      <c r="F41" s="5">
        <f>F32+F33+F34+F35+F36+F37+F38+F39+F40</f>
        <v>180.80999999999997</v>
      </c>
      <c r="G41" s="5" t="s">
        <v>321</v>
      </c>
      <c r="H41" s="5"/>
      <c r="I41" s="1" t="s">
        <v>262</v>
      </c>
    </row>
    <row r="42" spans="1:9">
      <c r="A42" s="2" t="s">
        <v>174</v>
      </c>
      <c r="B42" s="7"/>
      <c r="C42" s="10"/>
      <c r="D42" s="10"/>
      <c r="E42" s="7"/>
      <c r="F42" s="10"/>
      <c r="G42" s="5"/>
      <c r="H42" s="5"/>
      <c r="I42" s="1"/>
    </row>
    <row r="43" spans="1:9">
      <c r="A43" s="1" t="s">
        <v>175</v>
      </c>
      <c r="B43" s="8">
        <v>20</v>
      </c>
      <c r="C43" s="10">
        <f>B43*0.8/100</f>
        <v>0.16</v>
      </c>
      <c r="D43" s="10">
        <f>B43*0.4/100</f>
        <v>0.08</v>
      </c>
      <c r="E43" s="7">
        <f>B43*6.3/100</f>
        <v>1.26</v>
      </c>
      <c r="F43" s="10">
        <f>B43*34/100</f>
        <v>6.8</v>
      </c>
      <c r="G43" s="5"/>
      <c r="H43" s="5"/>
      <c r="I43" s="1"/>
    </row>
    <row r="44" spans="1:9">
      <c r="A44" s="1" t="s">
        <v>53</v>
      </c>
      <c r="B44" s="7">
        <v>2</v>
      </c>
      <c r="C44" s="10">
        <f>B44*0.1/100</f>
        <v>2E-3</v>
      </c>
      <c r="D44" s="10">
        <f>B44*0/100</f>
        <v>0</v>
      </c>
      <c r="E44" s="7">
        <f>B44*0/100</f>
        <v>0</v>
      </c>
      <c r="F44" s="10">
        <f>B44*79.6/100</f>
        <v>1.5919999999999999</v>
      </c>
      <c r="G44" s="5"/>
      <c r="H44" s="5"/>
      <c r="I44" s="1"/>
    </row>
    <row r="45" spans="1:9">
      <c r="A45" s="1" t="s">
        <v>9</v>
      </c>
      <c r="B45" s="7">
        <v>6</v>
      </c>
      <c r="C45" s="10">
        <f>B45*0/100</f>
        <v>0</v>
      </c>
      <c r="D45" s="10">
        <f>B45*0/100</f>
        <v>0</v>
      </c>
      <c r="E45" s="7">
        <f>B45*99.8/100</f>
        <v>5.9879999999999995</v>
      </c>
      <c r="F45" s="10">
        <f>B45*379/100</f>
        <v>22.74</v>
      </c>
      <c r="G45" s="5"/>
      <c r="H45" s="5"/>
      <c r="I45" s="1"/>
    </row>
    <row r="46" spans="1:9">
      <c r="A46" s="2" t="s">
        <v>14</v>
      </c>
      <c r="B46" s="5"/>
      <c r="C46" s="5">
        <f>C43+C44</f>
        <v>0.16200000000000001</v>
      </c>
      <c r="D46" s="5">
        <f>D43+D44+D45</f>
        <v>0.08</v>
      </c>
      <c r="E46" s="5">
        <f>E43+E44+E45</f>
        <v>7.2479999999999993</v>
      </c>
      <c r="F46" s="5">
        <f>F43+F44+F45</f>
        <v>31.131999999999998</v>
      </c>
      <c r="G46" s="5">
        <v>150</v>
      </c>
      <c r="H46" s="5"/>
      <c r="I46" s="1" t="s">
        <v>213</v>
      </c>
    </row>
    <row r="47" spans="1:9">
      <c r="A47" s="1" t="s">
        <v>32</v>
      </c>
      <c r="B47" s="5">
        <v>34</v>
      </c>
      <c r="C47" s="5">
        <f>B47*6.6/100</f>
        <v>2.2439999999999998</v>
      </c>
      <c r="D47" s="5">
        <f>B47*1.2/100</f>
        <v>0.40799999999999997</v>
      </c>
      <c r="E47" s="5">
        <f>B47*34.2/100</f>
        <v>11.628000000000002</v>
      </c>
      <c r="F47" s="5">
        <f>B47*181/100</f>
        <v>61.54</v>
      </c>
      <c r="G47" s="5">
        <v>34</v>
      </c>
      <c r="H47" s="5"/>
      <c r="I47" s="1"/>
    </row>
    <row r="48" spans="1:9">
      <c r="A48" s="2" t="s">
        <v>334</v>
      </c>
      <c r="B48" s="7"/>
      <c r="C48" s="10"/>
      <c r="D48" s="10"/>
      <c r="E48" s="7"/>
      <c r="F48" s="10"/>
      <c r="G48" s="5"/>
      <c r="H48" s="5"/>
      <c r="I48" s="1"/>
    </row>
    <row r="49" spans="1:9">
      <c r="A49" s="1" t="s">
        <v>264</v>
      </c>
      <c r="B49" s="8">
        <v>40</v>
      </c>
      <c r="C49" s="10">
        <f>B49*0.8/100</f>
        <v>0.32</v>
      </c>
      <c r="D49" s="10">
        <f>B49*0.1/100</f>
        <v>0.04</v>
      </c>
      <c r="E49" s="7">
        <f>B49*3.4/100</f>
        <v>1.36</v>
      </c>
      <c r="F49" s="10">
        <f>B49*14/100</f>
        <v>5.6</v>
      </c>
      <c r="G49" s="5"/>
      <c r="H49" s="5"/>
      <c r="I49" s="1"/>
    </row>
    <row r="50" spans="1:9">
      <c r="A50" s="1" t="s">
        <v>335</v>
      </c>
      <c r="B50" s="8">
        <v>30</v>
      </c>
      <c r="C50" s="10">
        <f>B50*1.2/100</f>
        <v>0.36</v>
      </c>
      <c r="D50" s="10">
        <f>B50*0.2/100</f>
        <v>0.06</v>
      </c>
      <c r="E50" s="7">
        <f>B50*4.6/100</f>
        <v>1.38</v>
      </c>
      <c r="F50" s="10">
        <f>B50*21/100</f>
        <v>6.3</v>
      </c>
      <c r="G50" s="5"/>
      <c r="H50" s="5"/>
      <c r="I50" s="1"/>
    </row>
    <row r="51" spans="1:9">
      <c r="A51" s="1" t="s">
        <v>57</v>
      </c>
      <c r="B51" s="7">
        <v>10</v>
      </c>
      <c r="C51" s="10">
        <v>0</v>
      </c>
      <c r="D51" s="10">
        <f>B51*99.9/100</f>
        <v>9.99</v>
      </c>
      <c r="E51" s="7">
        <f>B51*0/100</f>
        <v>0</v>
      </c>
      <c r="F51" s="10">
        <f>B51*899/100</f>
        <v>89.9</v>
      </c>
      <c r="G51" s="5"/>
      <c r="H51" s="5"/>
      <c r="I51" s="1" t="s">
        <v>263</v>
      </c>
    </row>
    <row r="52" spans="1:9">
      <c r="A52" s="1" t="s">
        <v>330</v>
      </c>
      <c r="B52" s="7">
        <v>10</v>
      </c>
      <c r="C52" s="10">
        <f>B52*1.3/100</f>
        <v>0.13</v>
      </c>
      <c r="D52" s="10">
        <f>B52*0/100</f>
        <v>0</v>
      </c>
      <c r="E52" s="7">
        <f>B52*3.5/100</f>
        <v>0.35</v>
      </c>
      <c r="F52" s="10">
        <f>B52*19/100</f>
        <v>1.9</v>
      </c>
      <c r="G52" s="5"/>
      <c r="H52" s="5"/>
      <c r="I52" s="1"/>
    </row>
    <row r="53" spans="1:9">
      <c r="A53" s="2" t="s">
        <v>14</v>
      </c>
      <c r="B53" s="5"/>
      <c r="C53" s="5">
        <f>C49+C50+C51+C52</f>
        <v>0.80999999999999994</v>
      </c>
      <c r="D53" s="5">
        <f>D49+D50+D51+D52</f>
        <v>10.09</v>
      </c>
      <c r="E53" s="5">
        <f>E49+E50+E51+E52</f>
        <v>3.0900000000000003</v>
      </c>
      <c r="F53" s="5">
        <f>F49+F50+F51+F52</f>
        <v>103.70000000000002</v>
      </c>
      <c r="G53" s="5">
        <v>90</v>
      </c>
      <c r="H53" s="5"/>
      <c r="I53" s="1"/>
    </row>
    <row r="54" spans="1:9">
      <c r="A54" s="2" t="s">
        <v>178</v>
      </c>
      <c r="B54" s="5"/>
      <c r="C54" s="5">
        <f>C30+C41+C46+C52+C53</f>
        <v>23.682999999999996</v>
      </c>
      <c r="D54" s="5">
        <f>D30+D41+D46+D52+D53</f>
        <v>27.961000000000002</v>
      </c>
      <c r="E54" s="5">
        <f>E30+E41+E46+E52+E53</f>
        <v>28.724999999999998</v>
      </c>
      <c r="F54" s="5">
        <f>F30+F41+F46+F52+F53</f>
        <v>459.81200000000001</v>
      </c>
      <c r="G54" s="5">
        <v>539</v>
      </c>
      <c r="H54" s="5"/>
      <c r="I54" s="1"/>
    </row>
    <row r="55" spans="1:9">
      <c r="A55" s="1" t="s">
        <v>196</v>
      </c>
      <c r="B55" s="7">
        <v>2.5499999999999998</v>
      </c>
      <c r="C55" s="10"/>
      <c r="D55" s="10"/>
      <c r="E55" s="7"/>
      <c r="F55" s="10"/>
      <c r="G55" s="5"/>
      <c r="H55" s="5"/>
      <c r="I55" s="1"/>
    </row>
    <row r="56" spans="1:9" ht="19.5" customHeight="1">
      <c r="A56" s="22" t="s">
        <v>276</v>
      </c>
      <c r="B56" s="16"/>
      <c r="C56" s="16"/>
      <c r="D56" s="16"/>
      <c r="E56" s="16"/>
      <c r="F56" s="16"/>
      <c r="G56" s="7"/>
      <c r="H56" s="7"/>
      <c r="I56" s="1"/>
    </row>
    <row r="57" spans="1:9" ht="15.75">
      <c r="A57" s="26" t="s">
        <v>254</v>
      </c>
      <c r="B57" s="10">
        <v>150</v>
      </c>
      <c r="C57" s="10">
        <f>B57*0.5/100</f>
        <v>0.75</v>
      </c>
      <c r="D57" s="10">
        <f>B57*0/100</f>
        <v>0</v>
      </c>
      <c r="E57" s="10">
        <f>B57*9.1/100</f>
        <v>13.65</v>
      </c>
      <c r="F57" s="10">
        <f>B57*38/100</f>
        <v>57</v>
      </c>
      <c r="G57" s="5">
        <v>150</v>
      </c>
      <c r="H57" s="5"/>
      <c r="I57" s="1" t="s">
        <v>210</v>
      </c>
    </row>
    <row r="58" spans="1:9">
      <c r="A58" s="1" t="s">
        <v>319</v>
      </c>
      <c r="B58" s="10">
        <v>50</v>
      </c>
      <c r="C58" s="10">
        <f>B58*10.4/100</f>
        <v>5.2</v>
      </c>
      <c r="D58" s="10">
        <f>B58*5.2/100</f>
        <v>2.6</v>
      </c>
      <c r="E58" s="10">
        <f>B58*76.8/100</f>
        <v>38.4</v>
      </c>
      <c r="F58" s="10">
        <f>B58*458/100</f>
        <v>229</v>
      </c>
      <c r="G58" s="5">
        <v>50</v>
      </c>
      <c r="H58" s="7"/>
      <c r="I58" s="1"/>
    </row>
    <row r="59" spans="1:9" ht="15.75">
      <c r="A59" s="22" t="s">
        <v>282</v>
      </c>
      <c r="B59" s="5"/>
      <c r="C59" s="5">
        <f>C57+C58</f>
        <v>5.95</v>
      </c>
      <c r="D59" s="5">
        <f>D58</f>
        <v>2.6</v>
      </c>
      <c r="E59" s="5">
        <f>E57+E58</f>
        <v>52.05</v>
      </c>
      <c r="F59" s="5">
        <f>F57+F58</f>
        <v>286</v>
      </c>
      <c r="G59" s="5">
        <v>200</v>
      </c>
      <c r="H59" s="7"/>
      <c r="I59" s="1"/>
    </row>
    <row r="60" spans="1:9" ht="15.75">
      <c r="A60" s="14" t="s">
        <v>280</v>
      </c>
      <c r="B60" s="16"/>
      <c r="C60" s="16">
        <f>C17+C19+C54+C59</f>
        <v>53.620000000000005</v>
      </c>
      <c r="D60" s="16">
        <f>D17+D54+D59</f>
        <v>47.278500000000001</v>
      </c>
      <c r="E60" s="16">
        <f>E17+E19+E54+E59</f>
        <v>161.07049999999998</v>
      </c>
      <c r="F60" s="16">
        <f>F17+F19+F54+F59</f>
        <v>1307.9769999999999</v>
      </c>
      <c r="G60" s="7"/>
      <c r="H60" s="7"/>
      <c r="I60" s="1"/>
    </row>
    <row r="61" spans="1:9" ht="15.75">
      <c r="A61" s="14"/>
      <c r="B61" s="16"/>
      <c r="C61" s="16"/>
      <c r="D61" s="16"/>
      <c r="E61" s="16"/>
      <c r="F61" s="16"/>
      <c r="G61" s="7"/>
      <c r="H61" s="7"/>
      <c r="I61" s="1"/>
    </row>
    <row r="62" spans="1:9" ht="15.75">
      <c r="A62" s="14" t="s">
        <v>362</v>
      </c>
      <c r="B62" s="16"/>
      <c r="C62" s="16"/>
      <c r="D62" s="16"/>
      <c r="E62" s="16"/>
      <c r="F62" s="16"/>
      <c r="G62" s="7"/>
      <c r="H62" s="7"/>
      <c r="I62" s="1"/>
    </row>
    <row r="63" spans="1:9" ht="15.75">
      <c r="A63" s="14"/>
      <c r="B63" s="16"/>
      <c r="C63" s="16"/>
      <c r="D63" s="16"/>
      <c r="E63" s="16"/>
      <c r="F63" s="16"/>
      <c r="G63" s="7"/>
      <c r="H63" s="7"/>
      <c r="I63" s="1"/>
    </row>
    <row r="64" spans="1:9" ht="15.75">
      <c r="A64" s="14"/>
      <c r="B64" s="16"/>
      <c r="C64" s="16"/>
      <c r="D64" s="16"/>
      <c r="E64" s="16"/>
      <c r="F64" s="16"/>
      <c r="G64" s="7"/>
      <c r="H64" s="7"/>
      <c r="I64" s="1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"/>
  <sheetViews>
    <sheetView topLeftCell="A58" zoomScaleNormal="100" workbookViewId="0">
      <selection activeCell="A32" sqref="A32"/>
    </sheetView>
  </sheetViews>
  <sheetFormatPr defaultRowHeight="15"/>
  <cols>
    <col min="1" max="1" width="38.7109375" customWidth="1"/>
    <col min="2" max="2" width="8.7109375" customWidth="1"/>
    <col min="3" max="3" width="8" customWidth="1"/>
    <col min="4" max="4" width="7.5703125" customWidth="1"/>
    <col min="5" max="5" width="9.7109375" customWidth="1"/>
    <col min="6" max="6" width="9.5703125" customWidth="1"/>
    <col min="7" max="8" width="7.85546875" customWidth="1"/>
    <col min="9" max="9" width="14.140625" customWidth="1"/>
  </cols>
  <sheetData>
    <row r="1" spans="1:9">
      <c r="A1" s="2" t="s">
        <v>10</v>
      </c>
    </row>
    <row r="2" spans="1:9">
      <c r="A2" s="1" t="s">
        <v>0</v>
      </c>
      <c r="B2" s="6" t="s">
        <v>268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197</v>
      </c>
    </row>
    <row r="3" spans="1:9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>
      <c r="A4" s="1" t="s">
        <v>6</v>
      </c>
      <c r="B4" s="7">
        <v>20</v>
      </c>
      <c r="C4" s="7">
        <f>B4*12.6/100</f>
        <v>2.52</v>
      </c>
      <c r="D4" s="7">
        <f>B4*3.3/100</f>
        <v>0.66</v>
      </c>
      <c r="E4" s="7">
        <f>B4*62.1/100</f>
        <v>12.42</v>
      </c>
      <c r="F4" s="7">
        <f>B4*335/100</f>
        <v>67</v>
      </c>
      <c r="G4" s="7"/>
      <c r="H4" s="7"/>
      <c r="I4" s="1"/>
    </row>
    <row r="5" spans="1:9">
      <c r="A5" s="1" t="s">
        <v>7</v>
      </c>
      <c r="B5" s="7">
        <v>130</v>
      </c>
      <c r="C5" s="7">
        <f>B5*2.8/100</f>
        <v>3.64</v>
      </c>
      <c r="D5" s="7">
        <f>B5*3.5/100</f>
        <v>4.55</v>
      </c>
      <c r="E5" s="7">
        <f>B5*4.7/100</f>
        <v>6.11</v>
      </c>
      <c r="F5" s="7">
        <f>B5*61/100</f>
        <v>79.3</v>
      </c>
      <c r="G5" s="7"/>
      <c r="H5" s="7"/>
      <c r="I5" s="1"/>
    </row>
    <row r="6" spans="1:9">
      <c r="A6" s="1" t="s">
        <v>8</v>
      </c>
      <c r="B6" s="7">
        <v>4</v>
      </c>
      <c r="C6" s="7">
        <f>B6*0.7/100</f>
        <v>2.7999999999999997E-2</v>
      </c>
      <c r="D6" s="7">
        <f>B6*72.5/100</f>
        <v>2.9</v>
      </c>
      <c r="E6" s="7">
        <f>B6*1/100</f>
        <v>0.04</v>
      </c>
      <c r="F6" s="7">
        <f>B6*709/100</f>
        <v>28.36</v>
      </c>
      <c r="G6" s="7"/>
      <c r="H6" s="7"/>
      <c r="I6" s="1"/>
    </row>
    <row r="7" spans="1:9">
      <c r="A7" s="1" t="s">
        <v>9</v>
      </c>
      <c r="B7" s="8">
        <v>3</v>
      </c>
      <c r="C7" s="7">
        <f>B7*0/100</f>
        <v>0</v>
      </c>
      <c r="D7" s="7">
        <f>B7*0/100</f>
        <v>0</v>
      </c>
      <c r="E7" s="7">
        <f>B7*99.8/100</f>
        <v>2.9939999999999998</v>
      </c>
      <c r="F7" s="7">
        <f>B7*379/100</f>
        <v>11.37</v>
      </c>
      <c r="G7" s="7"/>
      <c r="H7" s="7"/>
      <c r="I7" s="1"/>
    </row>
    <row r="8" spans="1:9">
      <c r="A8" s="2" t="s">
        <v>14</v>
      </c>
      <c r="B8" s="5"/>
      <c r="C8" s="5">
        <f>C4+C5+C6+C7</f>
        <v>6.1879999999999997</v>
      </c>
      <c r="D8" s="5">
        <f t="shared" ref="D8:F8" si="0">D4+D5+D6+D7</f>
        <v>8.11</v>
      </c>
      <c r="E8" s="5">
        <f t="shared" si="0"/>
        <v>21.564</v>
      </c>
      <c r="F8" s="5">
        <f t="shared" si="0"/>
        <v>186.03000000000003</v>
      </c>
      <c r="G8" s="5">
        <v>150</v>
      </c>
      <c r="H8" s="5"/>
      <c r="I8" s="1" t="s">
        <v>198</v>
      </c>
    </row>
    <row r="9" spans="1:9">
      <c r="A9" s="2" t="s">
        <v>188</v>
      </c>
      <c r="B9" s="7"/>
      <c r="C9" s="7"/>
      <c r="D9" s="7"/>
      <c r="E9" s="7"/>
      <c r="F9" s="7"/>
      <c r="G9" s="5"/>
      <c r="H9" s="5"/>
      <c r="I9" s="1"/>
    </row>
    <row r="10" spans="1:9">
      <c r="A10" s="1" t="s">
        <v>11</v>
      </c>
      <c r="B10" s="7">
        <v>0.3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>
      <c r="A11" s="1" t="s">
        <v>9</v>
      </c>
      <c r="B11" s="8">
        <v>5</v>
      </c>
      <c r="C11" s="7">
        <f>B11*0/100</f>
        <v>0</v>
      </c>
      <c r="D11" s="7">
        <f>B11*0/100</f>
        <v>0</v>
      </c>
      <c r="E11" s="7">
        <f>B11*99.8/100</f>
        <v>4.99</v>
      </c>
      <c r="F11" s="7">
        <f>B11*379/100</f>
        <v>18.95</v>
      </c>
      <c r="G11" s="5">
        <v>150</v>
      </c>
      <c r="H11" s="5"/>
      <c r="I11" s="1" t="s">
        <v>199</v>
      </c>
    </row>
    <row r="12" spans="1:9">
      <c r="A12" s="1"/>
      <c r="B12" s="7"/>
      <c r="C12" s="7"/>
      <c r="D12" s="7"/>
      <c r="E12" s="7"/>
      <c r="F12" s="7"/>
      <c r="G12" s="5"/>
      <c r="H12" s="5"/>
      <c r="I12" s="1"/>
    </row>
    <row r="13" spans="1:9">
      <c r="A13" s="1" t="s">
        <v>12</v>
      </c>
      <c r="B13" s="8">
        <v>50</v>
      </c>
      <c r="C13" s="7">
        <f>B13*7.7/100</f>
        <v>3.85</v>
      </c>
      <c r="D13" s="7">
        <f>B13*3/100</f>
        <v>1.5</v>
      </c>
      <c r="E13" s="7">
        <f>B13*49.8/100</f>
        <v>24.9</v>
      </c>
      <c r="F13" s="7">
        <f>B13*262/100</f>
        <v>131</v>
      </c>
      <c r="G13" s="5">
        <v>50</v>
      </c>
      <c r="H13" s="5"/>
      <c r="I13" s="1"/>
    </row>
    <row r="14" spans="1:9">
      <c r="A14" s="1"/>
      <c r="B14" s="7"/>
      <c r="C14" s="7"/>
      <c r="D14" s="7"/>
      <c r="E14" s="7"/>
      <c r="F14" s="7"/>
      <c r="G14" s="5"/>
      <c r="H14" s="5"/>
      <c r="I14" s="1"/>
    </row>
    <row r="15" spans="1:9">
      <c r="A15" s="1" t="s">
        <v>8</v>
      </c>
      <c r="B15" s="7">
        <v>5</v>
      </c>
      <c r="C15" s="7">
        <f>B15*0.7/100</f>
        <v>3.5000000000000003E-2</v>
      </c>
      <c r="D15" s="7">
        <f>B15*72.5/100</f>
        <v>3.625</v>
      </c>
      <c r="E15" s="7">
        <f>B15*1/100</f>
        <v>0.05</v>
      </c>
      <c r="F15" s="7">
        <f>B15*709/100</f>
        <v>35.450000000000003</v>
      </c>
      <c r="G15" s="5">
        <v>5</v>
      </c>
      <c r="H15" s="5"/>
      <c r="I15" s="1"/>
    </row>
    <row r="16" spans="1:9">
      <c r="A16" s="1"/>
      <c r="B16" s="7"/>
      <c r="C16" s="7">
        <f t="shared" ref="C16:C19" si="1">B16*12.6/100</f>
        <v>0</v>
      </c>
      <c r="D16" s="7">
        <f t="shared" ref="D16:D50" si="2">B16*3.3/100</f>
        <v>0</v>
      </c>
      <c r="E16" s="7">
        <f t="shared" ref="E16:E44" si="3">B16*62.1/100</f>
        <v>0</v>
      </c>
      <c r="F16" s="7">
        <f t="shared" ref="F16:F19" si="4">B16*335/100</f>
        <v>0</v>
      </c>
      <c r="G16" s="5"/>
      <c r="H16" s="5"/>
      <c r="I16" s="1"/>
    </row>
    <row r="17" spans="1:9">
      <c r="A17" s="2" t="s">
        <v>13</v>
      </c>
      <c r="B17" s="8">
        <v>12</v>
      </c>
      <c r="C17" s="7">
        <f>B17*23/100</f>
        <v>2.76</v>
      </c>
      <c r="D17" s="7">
        <f>B17*29/100</f>
        <v>3.48</v>
      </c>
      <c r="E17" s="7">
        <f>B17*0/100</f>
        <v>0</v>
      </c>
      <c r="F17" s="7">
        <f>B17*360/100</f>
        <v>43.2</v>
      </c>
      <c r="G17" s="5">
        <v>12</v>
      </c>
      <c r="H17" s="5"/>
      <c r="I17" s="1" t="s">
        <v>200</v>
      </c>
    </row>
    <row r="18" spans="1:9">
      <c r="A18" s="2" t="s">
        <v>118</v>
      </c>
      <c r="B18" s="5"/>
      <c r="C18" s="5">
        <f>C8+C13+C15+C17</f>
        <v>12.833</v>
      </c>
      <c r="D18" s="5">
        <f>D8+D13+D15+D17</f>
        <v>16.715</v>
      </c>
      <c r="E18" s="5">
        <f>E8+E11+E13+E15</f>
        <v>51.503999999999998</v>
      </c>
      <c r="F18" s="5">
        <f>F8+F11+F13+F15+F17</f>
        <v>414.63</v>
      </c>
      <c r="G18" s="5">
        <v>367</v>
      </c>
      <c r="H18" s="5"/>
      <c r="I18" s="1"/>
    </row>
    <row r="19" spans="1:9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>
      <c r="A20" s="2" t="s">
        <v>275</v>
      </c>
      <c r="B20" s="5">
        <v>150</v>
      </c>
      <c r="C20" s="5">
        <f>B20*0.4/100</f>
        <v>0.6</v>
      </c>
      <c r="D20" s="5">
        <f>B20*0.4/100</f>
        <v>0.6</v>
      </c>
      <c r="E20" s="5">
        <f>B20*9.8/100</f>
        <v>14.7</v>
      </c>
      <c r="F20" s="5">
        <f>B20*45/100</f>
        <v>67.5</v>
      </c>
      <c r="G20" s="5">
        <v>150</v>
      </c>
      <c r="H20" s="5"/>
      <c r="I20" s="1" t="s">
        <v>201</v>
      </c>
    </row>
    <row r="21" spans="1:9">
      <c r="A21" s="1"/>
      <c r="B21" s="7"/>
      <c r="C21" s="7"/>
      <c r="D21" s="7"/>
      <c r="E21" s="7"/>
      <c r="F21" s="7"/>
      <c r="G21" s="7"/>
      <c r="H21" s="7"/>
      <c r="I21" s="1"/>
    </row>
    <row r="22" spans="1:9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>
      <c r="A23" s="2" t="s">
        <v>266</v>
      </c>
      <c r="B23" s="7"/>
      <c r="C23" s="7"/>
      <c r="D23" s="7"/>
      <c r="E23" s="7"/>
      <c r="F23" s="7"/>
      <c r="G23" s="7"/>
      <c r="H23" s="7"/>
      <c r="I23" s="1"/>
    </row>
    <row r="24" spans="1:9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>
      <c r="A25" s="1" t="s">
        <v>20</v>
      </c>
      <c r="B25" s="8">
        <v>11</v>
      </c>
      <c r="C25" s="7">
        <f>B25*1.4/100</f>
        <v>0.154</v>
      </c>
      <c r="D25" s="7">
        <f>B25*0/100</f>
        <v>0</v>
      </c>
      <c r="E25" s="7">
        <f>B25*9.1/100</f>
        <v>1.0009999999999999</v>
      </c>
      <c r="F25" s="7">
        <f>B25*41/100</f>
        <v>4.51</v>
      </c>
      <c r="G25" s="7"/>
      <c r="H25" s="7"/>
      <c r="I25" s="1"/>
    </row>
    <row r="26" spans="1:9">
      <c r="A26" s="1" t="s">
        <v>16</v>
      </c>
      <c r="B26" s="8">
        <v>11</v>
      </c>
      <c r="C26" s="7">
        <f>B26*1.3/100</f>
        <v>0.14300000000000002</v>
      </c>
      <c r="D26" s="7">
        <f>B26*0.1/100</f>
        <v>1.1000000000000001E-2</v>
      </c>
      <c r="E26" s="7">
        <f>B26*8.4/100</f>
        <v>0.92400000000000004</v>
      </c>
      <c r="F26" s="7">
        <f>B26*34/100</f>
        <v>3.74</v>
      </c>
      <c r="G26" s="7"/>
      <c r="H26" s="7"/>
      <c r="I26" s="1"/>
    </row>
    <row r="27" spans="1:9">
      <c r="A27" s="1" t="s">
        <v>8</v>
      </c>
      <c r="B27" s="8">
        <v>3</v>
      </c>
      <c r="C27" s="7">
        <f>B27*0.7/100</f>
        <v>2.0999999999999998E-2</v>
      </c>
      <c r="D27" s="7">
        <f>B27*372.5/100</f>
        <v>11.175000000000001</v>
      </c>
      <c r="E27" s="7">
        <f>B27*1/100</f>
        <v>0.03</v>
      </c>
      <c r="F27" s="7">
        <f>B27*709/100</f>
        <v>21.27</v>
      </c>
      <c r="G27" s="7"/>
      <c r="H27" s="7"/>
      <c r="I27" s="1"/>
    </row>
    <row r="28" spans="1:9">
      <c r="A28" s="1" t="s">
        <v>17</v>
      </c>
      <c r="B28" s="8">
        <v>7</v>
      </c>
      <c r="C28" s="7">
        <f>B28*10.7/100</f>
        <v>0.74899999999999989</v>
      </c>
      <c r="D28" s="7">
        <f>B28*1.3/100</f>
        <v>9.0999999999999998E-2</v>
      </c>
      <c r="E28" s="7">
        <f>B28*68.4/100</f>
        <v>4.7880000000000003</v>
      </c>
      <c r="F28" s="7">
        <f>B28*335/100</f>
        <v>23.45</v>
      </c>
      <c r="G28" s="7"/>
      <c r="H28" s="7"/>
      <c r="I28" s="1"/>
    </row>
    <row r="29" spans="1:9">
      <c r="A29" s="1" t="s">
        <v>265</v>
      </c>
      <c r="B29" s="7">
        <v>25</v>
      </c>
      <c r="C29" s="7">
        <f>B29*18.2/100</f>
        <v>4.55</v>
      </c>
      <c r="D29" s="7">
        <f>B29*18.4/100</f>
        <v>4.5999999999999996</v>
      </c>
      <c r="E29" s="7">
        <f>B29*0.7/100</f>
        <v>0.17499999999999999</v>
      </c>
      <c r="F29" s="7">
        <f>B29*241/100</f>
        <v>60.25</v>
      </c>
      <c r="G29" s="5"/>
      <c r="H29" s="5"/>
      <c r="I29" s="1"/>
    </row>
    <row r="30" spans="1:9">
      <c r="A30" s="2" t="s">
        <v>14</v>
      </c>
      <c r="B30" s="5"/>
      <c r="C30" s="5">
        <f>C24+C25+C26+C27+C28+C29</f>
        <v>6.4169999999999998</v>
      </c>
      <c r="D30" s="5">
        <f>D24+D25+D26+D27+D28+D29</f>
        <v>16.036999999999999</v>
      </c>
      <c r="E30" s="5">
        <f>E24+E25+E26+E27+E28+E29</f>
        <v>13.837999999999999</v>
      </c>
      <c r="F30" s="5">
        <f>F24+F25+F26+F27+F28+F29</f>
        <v>145.22</v>
      </c>
      <c r="G30" s="5">
        <v>150</v>
      </c>
      <c r="H30" s="7"/>
      <c r="I30" s="1" t="s">
        <v>202</v>
      </c>
    </row>
    <row r="31" spans="1:9">
      <c r="A31" s="2" t="s">
        <v>353</v>
      </c>
      <c r="B31" s="7"/>
      <c r="C31" s="7"/>
      <c r="D31" s="7"/>
      <c r="E31" s="7"/>
      <c r="F31" s="7"/>
      <c r="G31" s="7"/>
      <c r="H31" s="7"/>
      <c r="I31" s="1"/>
    </row>
    <row r="32" spans="1:9">
      <c r="A32" s="1" t="s">
        <v>354</v>
      </c>
      <c r="B32" s="8">
        <v>55</v>
      </c>
      <c r="C32" s="7">
        <f>B32*18.2/100</f>
        <v>10.01</v>
      </c>
      <c r="D32" s="7">
        <f>B32*18.4/100</f>
        <v>10.119999999999999</v>
      </c>
      <c r="E32" s="7">
        <f>B32*0.7/100</f>
        <v>0.38500000000000001</v>
      </c>
      <c r="F32" s="7">
        <f>B32*241/100</f>
        <v>132.55000000000001</v>
      </c>
      <c r="G32" s="7"/>
      <c r="H32" s="7"/>
      <c r="I32" s="1"/>
    </row>
    <row r="33" spans="1:9">
      <c r="A33" s="1" t="s">
        <v>20</v>
      </c>
      <c r="B33" s="8">
        <v>11</v>
      </c>
      <c r="C33" s="7">
        <f>B33*1.4/100</f>
        <v>0.154</v>
      </c>
      <c r="D33" s="7">
        <f>B33*0/100</f>
        <v>0</v>
      </c>
      <c r="E33" s="7">
        <f>B33*9.1/100</f>
        <v>1.0009999999999999</v>
      </c>
      <c r="F33" s="7">
        <f>B33*41/100</f>
        <v>4.51</v>
      </c>
      <c r="G33" s="7"/>
      <c r="H33" s="7"/>
      <c r="I33" s="1"/>
    </row>
    <row r="34" spans="1:9">
      <c r="A34" s="1" t="s">
        <v>21</v>
      </c>
      <c r="B34" s="8">
        <v>5</v>
      </c>
      <c r="C34" s="7">
        <f>B34*12.7/40</f>
        <v>1.5874999999999999</v>
      </c>
      <c r="D34" s="7">
        <f>B34*11.5/40</f>
        <v>1.4375</v>
      </c>
      <c r="E34" s="7">
        <f>B34*0.7/40</f>
        <v>8.7499999999999994E-2</v>
      </c>
      <c r="F34" s="7">
        <f>B34*157/40</f>
        <v>19.625</v>
      </c>
      <c r="G34" s="7"/>
      <c r="H34" s="7"/>
      <c r="I34" s="1"/>
    </row>
    <row r="35" spans="1:9">
      <c r="A35" s="1" t="s">
        <v>12</v>
      </c>
      <c r="B35" s="7">
        <v>8</v>
      </c>
      <c r="C35" s="7">
        <f>B35*7.7/100</f>
        <v>0.61599999999999999</v>
      </c>
      <c r="D35" s="7">
        <f>B35*3/100</f>
        <v>0.24</v>
      </c>
      <c r="E35" s="7">
        <f>B35*49.8/100</f>
        <v>3.984</v>
      </c>
      <c r="F35" s="7">
        <f>B35*262/100</f>
        <v>20.96</v>
      </c>
      <c r="G35" s="7"/>
      <c r="H35" s="7"/>
      <c r="I35" s="1"/>
    </row>
    <row r="36" spans="1:9">
      <c r="A36" s="1" t="s">
        <v>57</v>
      </c>
      <c r="B36" s="7">
        <v>2</v>
      </c>
      <c r="C36" s="7">
        <f>B36*0/100</f>
        <v>0</v>
      </c>
      <c r="D36" s="7">
        <f>B36*99.9/100</f>
        <v>1.9980000000000002</v>
      </c>
      <c r="E36" s="7">
        <f>B36*0/100</f>
        <v>0</v>
      </c>
      <c r="F36" s="7">
        <f>B36*899/100</f>
        <v>17.98</v>
      </c>
      <c r="G36" s="7"/>
      <c r="H36" s="7"/>
      <c r="I36" s="1"/>
    </row>
    <row r="37" spans="1:9">
      <c r="A37" s="2" t="s">
        <v>14</v>
      </c>
      <c r="B37" s="5"/>
      <c r="C37" s="5">
        <f>C32+C33+C34+C35</f>
        <v>12.3675</v>
      </c>
      <c r="D37" s="5">
        <f>(D32+D33+D34+D35+D36)</f>
        <v>13.795500000000001</v>
      </c>
      <c r="E37" s="5">
        <f>E32+E33+E34+E35</f>
        <v>5.4574999999999996</v>
      </c>
      <c r="F37" s="5">
        <f>(F32+F33+F34+F35+F36)</f>
        <v>195.625</v>
      </c>
      <c r="G37" s="5">
        <v>50</v>
      </c>
      <c r="H37" s="5"/>
      <c r="I37" s="1" t="s">
        <v>203</v>
      </c>
    </row>
    <row r="38" spans="1:9">
      <c r="A38" s="2" t="s">
        <v>23</v>
      </c>
      <c r="B38" s="7"/>
      <c r="C38" s="7"/>
      <c r="D38" s="7"/>
      <c r="E38" s="7"/>
      <c r="F38" s="7"/>
      <c r="G38" s="7"/>
      <c r="H38" s="7"/>
      <c r="I38" s="1"/>
    </row>
    <row r="39" spans="1:9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7"/>
      <c r="I39" s="1"/>
    </row>
    <row r="40" spans="1:9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7"/>
      <c r="I40" s="1"/>
    </row>
    <row r="41" spans="1:9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7"/>
      <c r="I41" s="1"/>
    </row>
    <row r="42" spans="1:9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7"/>
      <c r="I42" s="1"/>
    </row>
    <row r="43" spans="1:9">
      <c r="A43" s="1" t="s">
        <v>177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7"/>
      <c r="I43" s="1"/>
    </row>
    <row r="44" spans="1:9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7"/>
      <c r="I44" s="1"/>
    </row>
    <row r="45" spans="1:9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80</v>
      </c>
      <c r="H45" s="5"/>
      <c r="I45" s="1" t="s">
        <v>204</v>
      </c>
    </row>
    <row r="46" spans="1:9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7"/>
      <c r="I46" s="1"/>
    </row>
    <row r="47" spans="1:9">
      <c r="A47" s="2" t="s">
        <v>29</v>
      </c>
      <c r="B47" s="7"/>
      <c r="C47" s="7"/>
      <c r="D47" s="7"/>
      <c r="E47" s="7"/>
      <c r="F47" s="7"/>
      <c r="G47" s="7"/>
      <c r="H47" s="7"/>
      <c r="I47" s="1"/>
    </row>
    <row r="48" spans="1:9">
      <c r="A48" s="1" t="s">
        <v>30</v>
      </c>
      <c r="B48" s="8">
        <v>8</v>
      </c>
      <c r="C48" s="7">
        <f>B48*3.4/100</f>
        <v>0.27200000000000002</v>
      </c>
      <c r="D48" s="7">
        <f>B48*0/100</f>
        <v>0</v>
      </c>
      <c r="E48" s="7">
        <f>B48*21.5/100</f>
        <v>1.72</v>
      </c>
      <c r="F48" s="7">
        <f>B48*110/100</f>
        <v>8.8000000000000007</v>
      </c>
      <c r="G48" s="7"/>
      <c r="H48" s="7"/>
      <c r="I48" s="1"/>
    </row>
    <row r="49" spans="1:9">
      <c r="A49" s="1" t="s">
        <v>9</v>
      </c>
      <c r="B49" s="8">
        <v>6</v>
      </c>
      <c r="C49" s="7">
        <f>B49*0/100</f>
        <v>0</v>
      </c>
      <c r="D49" s="7">
        <f>B49*0/100</f>
        <v>0</v>
      </c>
      <c r="E49" s="7">
        <f>B49*99.8/100</f>
        <v>5.9879999999999995</v>
      </c>
      <c r="F49" s="7">
        <f>B49*379/100</f>
        <v>22.74</v>
      </c>
      <c r="G49" s="7"/>
      <c r="H49" s="7"/>
      <c r="I49" s="1"/>
    </row>
    <row r="50" spans="1:9">
      <c r="A50" s="2" t="s">
        <v>14</v>
      </c>
      <c r="B50" s="5"/>
      <c r="C50" s="5">
        <f>C48+C49</f>
        <v>0.27200000000000002</v>
      </c>
      <c r="D50" s="5">
        <f t="shared" si="2"/>
        <v>0</v>
      </c>
      <c r="E50" s="5">
        <f>E48+E49</f>
        <v>7.7079999999999993</v>
      </c>
      <c r="F50" s="5">
        <f>F48+F49</f>
        <v>31.54</v>
      </c>
      <c r="G50" s="5">
        <v>150</v>
      </c>
      <c r="H50" s="5"/>
      <c r="I50" s="1" t="s">
        <v>205</v>
      </c>
    </row>
    <row r="51" spans="1:9">
      <c r="A51" s="1" t="s">
        <v>32</v>
      </c>
      <c r="B51" s="8">
        <v>34</v>
      </c>
      <c r="C51" s="7">
        <f>B51*6.6/100</f>
        <v>2.2439999999999998</v>
      </c>
      <c r="D51" s="7">
        <f>B51*1.2/100</f>
        <v>0.40799999999999997</v>
      </c>
      <c r="E51" s="7">
        <f>B51*34.2/100</f>
        <v>11.628000000000002</v>
      </c>
      <c r="F51" s="7">
        <f>B51*181/100</f>
        <v>61.54</v>
      </c>
      <c r="G51" s="5">
        <v>34</v>
      </c>
      <c r="H51" s="5"/>
      <c r="I51" s="1"/>
    </row>
    <row r="52" spans="1:9">
      <c r="A52" s="2" t="s">
        <v>14</v>
      </c>
      <c r="B52" s="5"/>
      <c r="C52" s="5">
        <f>C51</f>
        <v>2.2439999999999998</v>
      </c>
      <c r="D52" s="5">
        <f>D51</f>
        <v>0.40799999999999997</v>
      </c>
      <c r="E52" s="5">
        <f>E51</f>
        <v>11.628000000000002</v>
      </c>
      <c r="F52" s="5">
        <f>F51</f>
        <v>61.54</v>
      </c>
      <c r="G52" s="7"/>
      <c r="H52" s="7"/>
      <c r="I52" s="1"/>
    </row>
    <row r="53" spans="1:9">
      <c r="A53" s="2" t="s">
        <v>49</v>
      </c>
      <c r="B53" s="9">
        <v>60</v>
      </c>
      <c r="C53" s="13">
        <f>B53*1.1/100</f>
        <v>0.66</v>
      </c>
      <c r="D53" s="5">
        <f>B53*0.2/100</f>
        <v>0.12</v>
      </c>
      <c r="E53" s="5">
        <f>B53*3.8/100</f>
        <v>2.2799999999999998</v>
      </c>
      <c r="F53" s="5">
        <f>B53*23/100</f>
        <v>13.8</v>
      </c>
      <c r="G53" s="5">
        <v>60</v>
      </c>
      <c r="H53" s="5"/>
      <c r="I53" s="1" t="s">
        <v>206</v>
      </c>
    </row>
    <row r="54" spans="1:9" ht="20.25" customHeight="1">
      <c r="A54" s="2" t="s">
        <v>76</v>
      </c>
      <c r="B54" s="5"/>
      <c r="C54" s="13">
        <f>C30+C37+C46+C50+C52+C53</f>
        <v>24.4635</v>
      </c>
      <c r="D54" s="5">
        <f>D30+D37+D46+D52+D53</f>
        <v>32.183499999999995</v>
      </c>
      <c r="E54" s="5">
        <f>E30+E37+E46+E50+E52+E53</f>
        <v>55.115499999999997</v>
      </c>
      <c r="F54" s="5">
        <f>F30+F37+F46+F52+F53</f>
        <v>491.37500000000006</v>
      </c>
      <c r="G54" s="5">
        <v>524</v>
      </c>
      <c r="H54" s="7"/>
      <c r="I54" s="1"/>
    </row>
    <row r="55" spans="1:9">
      <c r="A55" s="1" t="s">
        <v>196</v>
      </c>
      <c r="B55" s="7">
        <v>2.5499999999999998</v>
      </c>
      <c r="C55" s="18"/>
      <c r="D55" s="7"/>
      <c r="E55" s="7"/>
      <c r="F55" s="7"/>
      <c r="G55" s="5"/>
      <c r="H55" s="5"/>
      <c r="I55" s="1"/>
    </row>
    <row r="56" spans="1:9" ht="21" customHeight="1">
      <c r="A56" s="22" t="s">
        <v>276</v>
      </c>
      <c r="B56" s="16"/>
      <c r="C56" s="16"/>
      <c r="D56" s="16"/>
      <c r="E56" s="16"/>
      <c r="F56" s="16"/>
      <c r="G56" s="5"/>
      <c r="H56" s="5"/>
      <c r="I56" s="1"/>
    </row>
    <row r="57" spans="1:9" s="20" customFormat="1" ht="19.5" customHeight="1">
      <c r="A57" s="2" t="s">
        <v>277</v>
      </c>
      <c r="B57" s="10"/>
      <c r="C57" s="5"/>
      <c r="D57" s="5"/>
      <c r="E57" s="5"/>
      <c r="F57" s="5"/>
      <c r="G57" s="5"/>
      <c r="H57" s="5"/>
      <c r="I57" s="2"/>
    </row>
    <row r="58" spans="1:9" ht="18.75" customHeight="1">
      <c r="A58" s="1" t="s">
        <v>7</v>
      </c>
      <c r="B58" s="7">
        <v>130</v>
      </c>
      <c r="C58" s="10">
        <f>B58*2.8/100</f>
        <v>3.64</v>
      </c>
      <c r="D58" s="10">
        <f>B58*3.5/100</f>
        <v>4.55</v>
      </c>
      <c r="E58" s="10">
        <f>B58*4.7/100</f>
        <v>6.11</v>
      </c>
      <c r="F58" s="10">
        <f>B58*61/100</f>
        <v>79.3</v>
      </c>
      <c r="G58" s="5"/>
      <c r="H58" s="5"/>
      <c r="I58" s="2"/>
    </row>
    <row r="59" spans="1:9" ht="18.75" customHeight="1">
      <c r="A59" s="1" t="s">
        <v>89</v>
      </c>
      <c r="B59" s="8">
        <v>1</v>
      </c>
      <c r="C59" s="10">
        <f>B59*24.2/100</f>
        <v>0.24199999999999999</v>
      </c>
      <c r="D59" s="10">
        <f>B59*17.5/100</f>
        <v>0.17499999999999999</v>
      </c>
      <c r="E59" s="10">
        <f>B59*27.9/100</f>
        <v>0.27899999999999997</v>
      </c>
      <c r="F59" s="10">
        <f>B59*373/100</f>
        <v>3.73</v>
      </c>
      <c r="G59" s="5"/>
      <c r="H59" s="5"/>
      <c r="I59" s="2"/>
    </row>
    <row r="60" spans="1:9" ht="18.75" customHeight="1">
      <c r="A60" s="3" t="s">
        <v>9</v>
      </c>
      <c r="B60" s="11">
        <v>5</v>
      </c>
      <c r="C60" s="10">
        <f>B60*0/100</f>
        <v>0</v>
      </c>
      <c r="D60" s="10">
        <f>B60*0/100</f>
        <v>0</v>
      </c>
      <c r="E60" s="10">
        <f t="shared" ref="E60" si="5">B60*99.8/100</f>
        <v>4.99</v>
      </c>
      <c r="F60" s="10">
        <f t="shared" ref="F60" si="6">B60*379/100</f>
        <v>18.95</v>
      </c>
      <c r="G60" s="5"/>
      <c r="H60" s="5"/>
      <c r="I60" s="2"/>
    </row>
    <row r="61" spans="1:9" ht="18.75" customHeight="1">
      <c r="A61" s="2" t="s">
        <v>14</v>
      </c>
      <c r="B61" s="10"/>
      <c r="C61" s="5">
        <f>C58+C59+C60</f>
        <v>3.8820000000000001</v>
      </c>
      <c r="D61" s="5">
        <f>D58+D59+D60</f>
        <v>4.7249999999999996</v>
      </c>
      <c r="E61" s="5">
        <f>E58+E59+E60</f>
        <v>11.379000000000001</v>
      </c>
      <c r="F61" s="5">
        <f>F58+F59+F60</f>
        <v>101.98</v>
      </c>
      <c r="G61" s="5">
        <v>170</v>
      </c>
      <c r="H61" s="5"/>
      <c r="I61" s="2" t="s">
        <v>217</v>
      </c>
    </row>
    <row r="62" spans="1:9" ht="18.75" customHeight="1">
      <c r="A62" s="2" t="s">
        <v>278</v>
      </c>
      <c r="B62" s="10"/>
      <c r="C62" s="5"/>
      <c r="D62" s="5"/>
      <c r="E62" s="5"/>
      <c r="F62" s="5"/>
      <c r="G62" s="5"/>
      <c r="H62" s="5"/>
      <c r="I62" s="2"/>
    </row>
    <row r="63" spans="1:9" ht="18.75" customHeight="1">
      <c r="A63" s="3" t="s">
        <v>70</v>
      </c>
      <c r="B63" s="8">
        <v>40</v>
      </c>
      <c r="C63" s="7">
        <f>B63*10.3/100</f>
        <v>4.12</v>
      </c>
      <c r="D63" s="7">
        <f>B63*1.1/100</f>
        <v>0.44</v>
      </c>
      <c r="E63" s="7">
        <f>B63*69/100</f>
        <v>27.6</v>
      </c>
      <c r="F63" s="7">
        <f>B63*334/100</f>
        <v>133.6</v>
      </c>
      <c r="G63" s="5"/>
      <c r="H63" s="5"/>
      <c r="I63" s="2"/>
    </row>
    <row r="64" spans="1:9" ht="18.75" customHeight="1">
      <c r="A64" s="3" t="s">
        <v>7</v>
      </c>
      <c r="B64" s="7">
        <v>25</v>
      </c>
      <c r="C64" s="7">
        <f>B64*2.8/100</f>
        <v>0.7</v>
      </c>
      <c r="D64" s="7">
        <f>B64*3.5/100</f>
        <v>0.875</v>
      </c>
      <c r="E64" s="7">
        <f>B64*4.7/100</f>
        <v>1.175</v>
      </c>
      <c r="F64" s="7">
        <f>B64*61/100</f>
        <v>15.25</v>
      </c>
      <c r="G64" s="7"/>
      <c r="H64" s="7"/>
      <c r="I64" s="1"/>
    </row>
    <row r="65" spans="1:9" ht="18.75" customHeight="1">
      <c r="A65" s="3" t="s">
        <v>8</v>
      </c>
      <c r="B65" s="8">
        <v>2</v>
      </c>
      <c r="C65" s="7">
        <f>B65*0.7/100</f>
        <v>1.3999999999999999E-2</v>
      </c>
      <c r="D65" s="7">
        <f>B65*372.5/100</f>
        <v>7.45</v>
      </c>
      <c r="E65" s="7">
        <f>B65*1/100</f>
        <v>0.02</v>
      </c>
      <c r="F65" s="7">
        <f>B65*709/100</f>
        <v>14.18</v>
      </c>
      <c r="G65" s="7"/>
      <c r="H65" s="7"/>
      <c r="I65" s="1"/>
    </row>
    <row r="66" spans="1:9" ht="18.75" customHeight="1">
      <c r="A66" s="3" t="s">
        <v>57</v>
      </c>
      <c r="B66" s="7">
        <v>3</v>
      </c>
      <c r="C66" s="7">
        <f>B66*0/100</f>
        <v>0</v>
      </c>
      <c r="D66" s="7">
        <f>B66*99.9/100</f>
        <v>2.9970000000000003</v>
      </c>
      <c r="E66" s="7">
        <f>B66*0/100</f>
        <v>0</v>
      </c>
      <c r="F66" s="7">
        <f>B66*899/100</f>
        <v>26.97</v>
      </c>
      <c r="G66" s="7"/>
      <c r="H66" s="7"/>
      <c r="I66" s="1"/>
    </row>
    <row r="67" spans="1:9" ht="18.75" customHeight="1">
      <c r="A67" s="3" t="s">
        <v>9</v>
      </c>
      <c r="B67" s="8">
        <v>7</v>
      </c>
      <c r="C67" s="7">
        <f>B67*0/100</f>
        <v>0</v>
      </c>
      <c r="D67" s="7">
        <f>B67*0/100</f>
        <v>0</v>
      </c>
      <c r="E67" s="7">
        <f>B67*99.8/100</f>
        <v>6.9860000000000007</v>
      </c>
      <c r="F67" s="7">
        <f>B67*379/100</f>
        <v>26.53</v>
      </c>
      <c r="G67" s="7"/>
      <c r="H67" s="7"/>
      <c r="I67" s="1"/>
    </row>
    <row r="68" spans="1:9" ht="18.75" customHeight="1">
      <c r="A68" s="3" t="s">
        <v>279</v>
      </c>
      <c r="B68" s="10">
        <v>1</v>
      </c>
      <c r="C68" s="10">
        <v>0</v>
      </c>
      <c r="D68" s="10">
        <v>0</v>
      </c>
      <c r="E68" s="10">
        <v>0</v>
      </c>
      <c r="F68" s="10">
        <v>0</v>
      </c>
      <c r="G68" s="5"/>
      <c r="H68" s="5"/>
      <c r="I68" s="2"/>
    </row>
    <row r="69" spans="1:9" ht="18.75" customHeight="1">
      <c r="A69" s="3" t="s">
        <v>21</v>
      </c>
      <c r="B69" s="8">
        <v>5</v>
      </c>
      <c r="C69" s="7">
        <f>B69*12.7/40</f>
        <v>1.5874999999999999</v>
      </c>
      <c r="D69" s="7">
        <f>B69*11.5/40</f>
        <v>1.4375</v>
      </c>
      <c r="E69" s="7">
        <f>B69*0.7/40</f>
        <v>8.7499999999999994E-2</v>
      </c>
      <c r="F69" s="7">
        <f>B69*157/40</f>
        <v>19.625</v>
      </c>
      <c r="G69" s="7"/>
      <c r="H69" s="7"/>
      <c r="I69" s="1"/>
    </row>
    <row r="70" spans="1:9" ht="18.75" customHeight="1">
      <c r="A70" s="2" t="s">
        <v>14</v>
      </c>
      <c r="B70" s="10"/>
      <c r="C70" s="5">
        <f>C63+C64+C65+C66+C67+C68+C69</f>
        <v>6.4215</v>
      </c>
      <c r="D70" s="5">
        <f>D63+D64+D65+D66+D67+D68+D69</f>
        <v>13.1995</v>
      </c>
      <c r="E70" s="5">
        <f>E63+E64+E65+E66+E67+E68+E69</f>
        <v>35.868500000000004</v>
      </c>
      <c r="F70" s="5">
        <f>F63+F64+F65+F66+F67+F68+F69</f>
        <v>236.155</v>
      </c>
      <c r="G70" s="5">
        <v>60</v>
      </c>
      <c r="H70" s="5"/>
      <c r="I70" s="2" t="s">
        <v>283</v>
      </c>
    </row>
    <row r="71" spans="1:9" ht="18.75" customHeight="1">
      <c r="A71" s="2" t="s">
        <v>282</v>
      </c>
      <c r="B71" s="10"/>
      <c r="C71" s="5">
        <f>C61+C70</f>
        <v>10.3035</v>
      </c>
      <c r="D71" s="5">
        <f>D61+D70</f>
        <v>17.924500000000002</v>
      </c>
      <c r="E71" s="5">
        <f>E61+E70</f>
        <v>47.247500000000002</v>
      </c>
      <c r="F71" s="5">
        <f>F61+F70</f>
        <v>338.13499999999999</v>
      </c>
      <c r="G71" s="5">
        <v>230</v>
      </c>
      <c r="H71" s="5"/>
      <c r="I71" s="2"/>
    </row>
    <row r="72" spans="1:9" ht="18.75" customHeight="1">
      <c r="A72" s="2" t="s">
        <v>280</v>
      </c>
      <c r="B72" s="10"/>
      <c r="C72" s="13">
        <f>C18+C20+C54+C61+C70</f>
        <v>48.2</v>
      </c>
      <c r="D72" s="5">
        <f>D18+D20+D54+D71</f>
        <v>67.423000000000002</v>
      </c>
      <c r="E72" s="5">
        <f>E18+E20+E54+E71</f>
        <v>168.56700000000001</v>
      </c>
      <c r="F72" s="5">
        <f>F18+F20+F54+F71</f>
        <v>1311.64</v>
      </c>
      <c r="G72" s="5"/>
      <c r="H72" s="5"/>
      <c r="I72" s="2"/>
    </row>
    <row r="73" spans="1:9" ht="23.25" customHeight="1">
      <c r="A73" s="2" t="s">
        <v>281</v>
      </c>
      <c r="B73" s="5"/>
      <c r="C73" s="5"/>
      <c r="D73" s="5"/>
      <c r="E73" s="5"/>
      <c r="F73" s="5"/>
      <c r="G73" s="5"/>
      <c r="H73" s="5"/>
      <c r="I73" s="2"/>
    </row>
    <row r="75" spans="1:9">
      <c r="A75" s="30" t="s">
        <v>347</v>
      </c>
    </row>
  </sheetData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1"/>
  <sheetViews>
    <sheetView topLeftCell="A46" zoomScaleNormal="100" workbookViewId="0">
      <selection activeCell="G69" sqref="G69"/>
    </sheetView>
  </sheetViews>
  <sheetFormatPr defaultRowHeight="15"/>
  <cols>
    <col min="1" max="1" width="43.42578125" customWidth="1"/>
    <col min="7" max="7" width="14.7109375" customWidth="1"/>
    <col min="9" max="9" width="13.85546875" customWidth="1"/>
  </cols>
  <sheetData>
    <row r="1" spans="1:9">
      <c r="A1" s="1"/>
      <c r="B1" s="7"/>
      <c r="C1" s="7"/>
      <c r="D1" s="7"/>
      <c r="E1" s="7"/>
      <c r="F1" s="7"/>
      <c r="G1" s="7"/>
      <c r="H1" s="7"/>
      <c r="I1" s="1"/>
    </row>
    <row r="2" spans="1:9" ht="18" customHeight="1">
      <c r="A2" s="3" t="s">
        <v>36</v>
      </c>
      <c r="B2" s="5" t="s">
        <v>268</v>
      </c>
      <c r="C2" s="5" t="s">
        <v>269</v>
      </c>
      <c r="D2" s="5" t="s">
        <v>270</v>
      </c>
      <c r="E2" s="5" t="s">
        <v>271</v>
      </c>
      <c r="F2" s="5" t="s">
        <v>272</v>
      </c>
      <c r="G2" s="5" t="s">
        <v>273</v>
      </c>
      <c r="H2" s="5" t="s">
        <v>35</v>
      </c>
      <c r="I2" s="2" t="s">
        <v>197</v>
      </c>
    </row>
    <row r="3" spans="1:9">
      <c r="A3" s="2" t="s">
        <v>37</v>
      </c>
      <c r="B3" s="7"/>
      <c r="C3" s="7"/>
      <c r="D3" s="7"/>
      <c r="E3" s="7"/>
      <c r="F3" s="7"/>
      <c r="G3" s="7"/>
      <c r="H3" s="7"/>
      <c r="I3" s="1"/>
    </row>
    <row r="4" spans="1:9">
      <c r="A4" s="1" t="s">
        <v>38</v>
      </c>
      <c r="B4" s="8">
        <v>20</v>
      </c>
      <c r="C4" s="7">
        <f>B4*11/100</f>
        <v>2.2000000000000002</v>
      </c>
      <c r="D4" s="7">
        <f>B4*6.2/100</f>
        <v>1.24</v>
      </c>
      <c r="E4" s="7">
        <f>B4*50.1/100</f>
        <v>10.02</v>
      </c>
      <c r="F4" s="7">
        <f>B4*305/100</f>
        <v>61</v>
      </c>
      <c r="G4" s="7"/>
      <c r="H4" s="7"/>
      <c r="I4" s="1"/>
    </row>
    <row r="5" spans="1:9">
      <c r="A5" s="1" t="s">
        <v>7</v>
      </c>
      <c r="B5" s="8">
        <v>130</v>
      </c>
      <c r="C5" s="7">
        <f>B5*2.8/100</f>
        <v>3.64</v>
      </c>
      <c r="D5" s="7">
        <f>B5*3.5/100</f>
        <v>4.55</v>
      </c>
      <c r="E5" s="7">
        <f>B5*4.7/100</f>
        <v>6.11</v>
      </c>
      <c r="F5" s="7">
        <f>B5*61/100</f>
        <v>79.3</v>
      </c>
      <c r="G5" s="7"/>
      <c r="H5" s="7"/>
      <c r="I5" s="1"/>
    </row>
    <row r="6" spans="1:9">
      <c r="A6" s="1" t="s">
        <v>8</v>
      </c>
      <c r="B6" s="8">
        <v>3</v>
      </c>
      <c r="C6" s="7">
        <f>B6*0.7/100</f>
        <v>2.0999999999999998E-2</v>
      </c>
      <c r="D6" s="7">
        <f>B6*72.5/100</f>
        <v>2.1749999999999998</v>
      </c>
      <c r="E6" s="7">
        <f>B6*1/100</f>
        <v>0.03</v>
      </c>
      <c r="F6" s="7">
        <f>B6*709/100</f>
        <v>21.27</v>
      </c>
      <c r="G6" s="7"/>
      <c r="H6" s="7"/>
      <c r="I6" s="1"/>
    </row>
    <row r="7" spans="1:9">
      <c r="A7" s="1" t="s">
        <v>9</v>
      </c>
      <c r="B7" s="8">
        <v>3</v>
      </c>
      <c r="C7" s="7">
        <f>B7*0/100</f>
        <v>0</v>
      </c>
      <c r="D7" s="7">
        <f>B7*0/100</f>
        <v>0</v>
      </c>
      <c r="E7" s="7">
        <f>B7*99.8/100</f>
        <v>2.9939999999999998</v>
      </c>
      <c r="F7" s="7">
        <f>B7*379/100</f>
        <v>11.37</v>
      </c>
      <c r="G7" s="7"/>
      <c r="H7" s="7"/>
      <c r="I7" s="1"/>
    </row>
    <row r="8" spans="1:9">
      <c r="A8" s="2" t="s">
        <v>14</v>
      </c>
      <c r="B8" s="5"/>
      <c r="C8" s="5">
        <f>C4+C5+C6</f>
        <v>5.8609999999999998</v>
      </c>
      <c r="D8" s="5">
        <f>D4+D5+D6+D7</f>
        <v>7.9649999999999999</v>
      </c>
      <c r="E8" s="5">
        <f>E4+E5+E6+E7</f>
        <v>19.154</v>
      </c>
      <c r="F8" s="5">
        <f>F4+F5+F6+F7</f>
        <v>172.94000000000003</v>
      </c>
      <c r="G8" s="5">
        <v>150</v>
      </c>
      <c r="H8" s="5"/>
      <c r="I8" s="1" t="s">
        <v>207</v>
      </c>
    </row>
    <row r="9" spans="1:9">
      <c r="A9" s="2" t="s">
        <v>77</v>
      </c>
      <c r="B9" s="7"/>
      <c r="C9" s="7">
        <f t="shared" ref="C9" si="0">B9*12.6/100</f>
        <v>0</v>
      </c>
      <c r="D9" s="7">
        <f t="shared" ref="D9" si="1">B9*3.3/100</f>
        <v>0</v>
      </c>
      <c r="E9" s="7">
        <f t="shared" ref="E9:E40" si="2">B9*1/100</f>
        <v>0</v>
      </c>
      <c r="F9" s="7">
        <f t="shared" ref="F9:F40" si="3">B9*379/100</f>
        <v>0</v>
      </c>
      <c r="G9" s="7"/>
      <c r="H9" s="7"/>
      <c r="I9" s="1"/>
    </row>
    <row r="10" spans="1:9">
      <c r="A10" s="1" t="s">
        <v>39</v>
      </c>
      <c r="B10" s="8">
        <v>1.2</v>
      </c>
      <c r="C10" s="7">
        <f>B10*24.2/100</f>
        <v>0.29039999999999999</v>
      </c>
      <c r="D10" s="7">
        <f>B10*17.5/100</f>
        <v>0.21</v>
      </c>
      <c r="E10" s="7">
        <f>B10*27.9/100</f>
        <v>0.33479999999999999</v>
      </c>
      <c r="F10" s="7">
        <f>B10*373/100</f>
        <v>4.476</v>
      </c>
      <c r="G10" s="7"/>
      <c r="H10" s="7"/>
      <c r="I10" s="1"/>
    </row>
    <row r="11" spans="1:9">
      <c r="A11" s="1" t="s">
        <v>7</v>
      </c>
      <c r="B11" s="8">
        <v>130</v>
      </c>
      <c r="C11" s="7">
        <f>B11*2.8/100</f>
        <v>3.64</v>
      </c>
      <c r="D11" s="7">
        <f>B11*3.5/100</f>
        <v>4.55</v>
      </c>
      <c r="E11" s="7">
        <f>B11*4.7/100</f>
        <v>6.11</v>
      </c>
      <c r="F11" s="7">
        <f>B11*61/100</f>
        <v>79.3</v>
      </c>
      <c r="G11" s="7"/>
      <c r="H11" s="7"/>
      <c r="I11" s="1"/>
    </row>
    <row r="12" spans="1:9">
      <c r="A12" s="1" t="s">
        <v>9</v>
      </c>
      <c r="B12" s="8">
        <v>5</v>
      </c>
      <c r="C12" s="7">
        <f>B12*0/100</f>
        <v>0</v>
      </c>
      <c r="D12" s="7">
        <f>B12*0/100</f>
        <v>0</v>
      </c>
      <c r="E12" s="7">
        <f>B12*199.8/100</f>
        <v>9.99</v>
      </c>
      <c r="F12" s="7">
        <f>B12*379/100</f>
        <v>18.95</v>
      </c>
      <c r="G12" s="5"/>
      <c r="H12" s="5"/>
      <c r="I12" s="1"/>
    </row>
    <row r="13" spans="1:9" ht="19.5" customHeight="1">
      <c r="A13" s="2" t="s">
        <v>14</v>
      </c>
      <c r="B13" s="5"/>
      <c r="C13" s="5">
        <f>C9+C10+C11</f>
        <v>3.9304000000000001</v>
      </c>
      <c r="D13" s="5">
        <f>D10+D11+D12</f>
        <v>4.76</v>
      </c>
      <c r="E13" s="5">
        <f>E10+E11+E12</f>
        <v>16.434800000000003</v>
      </c>
      <c r="F13" s="5">
        <f>F10+F11+F12</f>
        <v>102.726</v>
      </c>
      <c r="G13" s="5">
        <v>150</v>
      </c>
      <c r="H13" s="5"/>
      <c r="I13" s="1" t="s">
        <v>208</v>
      </c>
    </row>
    <row r="14" spans="1:9">
      <c r="A14" s="1" t="s">
        <v>40</v>
      </c>
      <c r="B14" s="8">
        <v>50</v>
      </c>
      <c r="C14" s="7">
        <f>B14*7.6/100</f>
        <v>3.8</v>
      </c>
      <c r="D14" s="7">
        <f>B14*3/100</f>
        <v>1.5</v>
      </c>
      <c r="E14" s="7">
        <f>B14*49.8/100</f>
        <v>24.9</v>
      </c>
      <c r="F14" s="7">
        <f>B14*262/100</f>
        <v>131</v>
      </c>
      <c r="G14" s="5">
        <v>50</v>
      </c>
      <c r="H14" s="5"/>
      <c r="I14" s="1"/>
    </row>
    <row r="15" spans="1:9">
      <c r="A15" s="1"/>
      <c r="B15" s="7"/>
      <c r="C15" s="7"/>
      <c r="D15" s="7"/>
      <c r="E15" s="7"/>
      <c r="F15" s="7"/>
      <c r="G15" s="5"/>
      <c r="H15" s="5"/>
      <c r="I15" s="1"/>
    </row>
    <row r="16" spans="1:9">
      <c r="A16" s="1" t="s">
        <v>8</v>
      </c>
      <c r="B16" s="8">
        <v>5</v>
      </c>
      <c r="C16" s="7">
        <f>B16*0.7/100</f>
        <v>3.5000000000000003E-2</v>
      </c>
      <c r="D16" s="7">
        <f>B16*72.5/100</f>
        <v>3.625</v>
      </c>
      <c r="E16" s="7">
        <f>B16*1/100</f>
        <v>0.05</v>
      </c>
      <c r="F16" s="7">
        <f>B16*709/100</f>
        <v>35.450000000000003</v>
      </c>
      <c r="G16" s="5">
        <v>5</v>
      </c>
      <c r="H16" s="5"/>
      <c r="I16" s="1"/>
    </row>
    <row r="17" spans="1:9">
      <c r="A17" s="1"/>
      <c r="B17" s="7"/>
      <c r="C17" s="7">
        <f t="shared" ref="C17" si="4">B17*12.6/100</f>
        <v>0</v>
      </c>
      <c r="D17" s="7">
        <f t="shared" ref="D17:D40" si="5">B17*3.3/100</f>
        <v>0</v>
      </c>
      <c r="E17" s="7">
        <f t="shared" si="2"/>
        <v>0</v>
      </c>
      <c r="F17" s="7">
        <f t="shared" si="3"/>
        <v>0</v>
      </c>
      <c r="G17" s="5"/>
      <c r="H17" s="5"/>
      <c r="I17" s="1"/>
    </row>
    <row r="18" spans="1:9">
      <c r="A18" s="2" t="s">
        <v>21</v>
      </c>
      <c r="B18" s="8">
        <v>40</v>
      </c>
      <c r="C18" s="7">
        <f>B18*12.7/1000</f>
        <v>0.50800000000000001</v>
      </c>
      <c r="D18" s="7">
        <f>B18*11.5/100</f>
        <v>4.5999999999999996</v>
      </c>
      <c r="E18" s="7">
        <f>B18*0.7/100</f>
        <v>0.28000000000000003</v>
      </c>
      <c r="F18" s="7">
        <f>B18*157/100</f>
        <v>62.8</v>
      </c>
      <c r="G18" s="5">
        <v>40</v>
      </c>
      <c r="H18" s="5"/>
      <c r="I18" s="1" t="s">
        <v>209</v>
      </c>
    </row>
    <row r="19" spans="1:9" ht="19.5" customHeight="1">
      <c r="A19" s="2" t="s">
        <v>75</v>
      </c>
      <c r="B19" s="5"/>
      <c r="C19" s="5">
        <f>C14+C15+C16+C17+C18</f>
        <v>4.343</v>
      </c>
      <c r="D19" s="5">
        <f>D14+D15+D16+D18</f>
        <v>9.7249999999999996</v>
      </c>
      <c r="E19" s="5">
        <f>E14+E15+E16+E18</f>
        <v>25.23</v>
      </c>
      <c r="F19" s="5">
        <f>F8+F13+F14+F16+F18</f>
        <v>504.91600000000005</v>
      </c>
      <c r="G19" s="5">
        <v>395</v>
      </c>
      <c r="H19" s="5"/>
      <c r="I19" s="1"/>
    </row>
    <row r="20" spans="1:9" ht="19.5" customHeight="1">
      <c r="A20" s="2" t="s">
        <v>183</v>
      </c>
      <c r="B20" s="5">
        <v>180</v>
      </c>
      <c r="C20" s="5">
        <f>B20*0.5/100</f>
        <v>0.9</v>
      </c>
      <c r="D20" s="5">
        <f>B20*0/100</f>
        <v>0</v>
      </c>
      <c r="E20" s="5">
        <f>B20*9.1/100</f>
        <v>16.38</v>
      </c>
      <c r="F20" s="5">
        <f>B20*38/100</f>
        <v>68.400000000000006</v>
      </c>
      <c r="G20" s="5">
        <v>180</v>
      </c>
      <c r="H20" s="5"/>
      <c r="I20" s="1" t="s">
        <v>210</v>
      </c>
    </row>
    <row r="21" spans="1:9">
      <c r="A21" s="2" t="s">
        <v>33</v>
      </c>
      <c r="B21" s="7"/>
      <c r="C21" s="7"/>
      <c r="D21" s="7"/>
      <c r="E21" s="7"/>
      <c r="F21" s="7"/>
      <c r="G21" s="7"/>
      <c r="H21" s="7"/>
      <c r="I21" s="1"/>
    </row>
    <row r="22" spans="1:9">
      <c r="A22" s="2" t="s">
        <v>43</v>
      </c>
      <c r="B22" s="7"/>
      <c r="C22" s="7"/>
      <c r="D22" s="7"/>
      <c r="E22" s="7"/>
      <c r="F22" s="7"/>
      <c r="G22" s="7"/>
      <c r="H22" s="7"/>
      <c r="I22" s="1"/>
    </row>
    <row r="23" spans="1:9">
      <c r="A23" s="1" t="s">
        <v>41</v>
      </c>
      <c r="B23" s="8">
        <v>30</v>
      </c>
      <c r="C23" s="7">
        <f>B23*18.6/100</f>
        <v>5.58</v>
      </c>
      <c r="D23" s="7">
        <f>B23*16/100</f>
        <v>4.8</v>
      </c>
      <c r="E23" s="7">
        <f>B23*0/100</f>
        <v>0</v>
      </c>
      <c r="F23" s="7">
        <f>B23*218/100</f>
        <v>65.400000000000006</v>
      </c>
      <c r="G23" s="7"/>
      <c r="H23" s="7"/>
      <c r="I23" s="1"/>
    </row>
    <row r="24" spans="1:9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>
      <c r="A25" s="1" t="s">
        <v>26</v>
      </c>
      <c r="B25" s="8">
        <v>40</v>
      </c>
      <c r="C25" s="7">
        <f>B25*1.8/100</f>
        <v>0.72</v>
      </c>
      <c r="D25" s="7">
        <f>B25*0.1/100</f>
        <v>0.04</v>
      </c>
      <c r="E25" s="7">
        <f>B25*4.7/100</f>
        <v>1.88</v>
      </c>
      <c r="F25" s="7">
        <f>B25*27/100</f>
        <v>10.8</v>
      </c>
      <c r="G25" s="7"/>
      <c r="H25" s="7"/>
      <c r="I25" s="1"/>
    </row>
    <row r="26" spans="1:9">
      <c r="A26" s="1" t="s">
        <v>42</v>
      </c>
      <c r="B26" s="8">
        <v>20</v>
      </c>
      <c r="C26" s="7">
        <f>B26*1.5/100</f>
        <v>0.3</v>
      </c>
      <c r="D26" s="7">
        <f>B26*0.1/100</f>
        <v>0.02</v>
      </c>
      <c r="E26" s="7">
        <f>B26*10/100</f>
        <v>2</v>
      </c>
      <c r="F26" s="7">
        <f>B26*42/100</f>
        <v>8.4</v>
      </c>
      <c r="G26" s="7"/>
      <c r="H26" s="7"/>
      <c r="I26" s="1"/>
    </row>
    <row r="27" spans="1:9">
      <c r="A27" s="1" t="s">
        <v>20</v>
      </c>
      <c r="B27" s="8">
        <v>11</v>
      </c>
      <c r="C27" s="7">
        <f>B27*1.4/100</f>
        <v>0.154</v>
      </c>
      <c r="D27" s="7">
        <f>B27*0/100</f>
        <v>0</v>
      </c>
      <c r="E27" s="7">
        <f>B27*9.1/100</f>
        <v>1.0009999999999999</v>
      </c>
      <c r="F27" s="7">
        <f>B27*41/100</f>
        <v>4.51</v>
      </c>
      <c r="G27" s="7"/>
      <c r="H27" s="7"/>
      <c r="I27" s="1"/>
    </row>
    <row r="28" spans="1:9">
      <c r="A28" s="1" t="s">
        <v>16</v>
      </c>
      <c r="B28" s="8">
        <v>11</v>
      </c>
      <c r="C28" s="7">
        <f>B28*1.3/100</f>
        <v>0.14300000000000002</v>
      </c>
      <c r="D28" s="7">
        <f>B28*0.1/100</f>
        <v>1.1000000000000001E-2</v>
      </c>
      <c r="E28" s="7">
        <f>B28*8.4/100</f>
        <v>0.92400000000000004</v>
      </c>
      <c r="F28" s="7">
        <f>B28*34/100</f>
        <v>3.74</v>
      </c>
      <c r="G28" s="7"/>
      <c r="H28" s="7"/>
      <c r="I28" s="1"/>
    </row>
    <row r="29" spans="1:9">
      <c r="A29" s="1" t="s">
        <v>28</v>
      </c>
      <c r="B29" s="8">
        <v>2</v>
      </c>
      <c r="C29" s="7">
        <f>B29*4.8/100</f>
        <v>9.6000000000000002E-2</v>
      </c>
      <c r="D29" s="7">
        <f>B29*0/100</f>
        <v>0</v>
      </c>
      <c r="E29" s="7">
        <f>B29*19/100</f>
        <v>0.38</v>
      </c>
      <c r="F29" s="7">
        <f>B29*99/100</f>
        <v>1.98</v>
      </c>
      <c r="G29" s="7"/>
      <c r="H29" s="7"/>
      <c r="I29" s="1"/>
    </row>
    <row r="30" spans="1:9">
      <c r="A30" s="1" t="s">
        <v>8</v>
      </c>
      <c r="B30" s="8">
        <v>4</v>
      </c>
      <c r="C30" s="7">
        <f>B30*0.7/100</f>
        <v>2.7999999999999997E-2</v>
      </c>
      <c r="D30" s="7">
        <f>B30*72.5/100</f>
        <v>2.9</v>
      </c>
      <c r="E30" s="7">
        <f>B30*1/100</f>
        <v>0.04</v>
      </c>
      <c r="F30" s="7">
        <f>B30*709/100</f>
        <v>28.36</v>
      </c>
      <c r="G30" s="5"/>
      <c r="H30" s="5"/>
      <c r="I30" s="1"/>
    </row>
    <row r="31" spans="1:9">
      <c r="A31" s="1" t="s">
        <v>44</v>
      </c>
      <c r="B31" s="8">
        <v>12</v>
      </c>
      <c r="C31" s="7">
        <f>B31*2.8/100</f>
        <v>0.33599999999999997</v>
      </c>
      <c r="D31" s="7">
        <f>B31*20/100</f>
        <v>2.4</v>
      </c>
      <c r="E31" s="7">
        <f>B31*3.2/100</f>
        <v>0.38400000000000006</v>
      </c>
      <c r="F31" s="7">
        <f>B31*206/100</f>
        <v>24.72</v>
      </c>
      <c r="G31" s="5"/>
      <c r="H31" s="5"/>
      <c r="I31" s="1"/>
    </row>
    <row r="32" spans="1:9" ht="19.5" customHeight="1">
      <c r="A32" s="2" t="s">
        <v>14</v>
      </c>
      <c r="B32" s="5"/>
      <c r="C32" s="5">
        <f>C23+C24+C25+C26+C27+C28+C29+C30+C31</f>
        <v>8.1569999999999983</v>
      </c>
      <c r="D32" s="5">
        <f>D23+D24+D25+D26+D27+D28+D29+D30+D31</f>
        <v>10.331</v>
      </c>
      <c r="E32" s="5">
        <f>E24+E25+E26+E27+E28+E29+E30+E31</f>
        <v>13.529</v>
      </c>
      <c r="F32" s="5">
        <f>F23+F24+F25+F26+F27+F28+F29+F30+F31</f>
        <v>179.91</v>
      </c>
      <c r="G32" s="5" t="s">
        <v>339</v>
      </c>
      <c r="H32" s="5"/>
      <c r="I32" s="1" t="s">
        <v>211</v>
      </c>
    </row>
    <row r="33" spans="1:9">
      <c r="A33" s="25" t="s">
        <v>301</v>
      </c>
      <c r="B33" s="7"/>
      <c r="C33" s="7"/>
      <c r="D33" s="7"/>
      <c r="E33" s="7"/>
      <c r="F33" s="7"/>
      <c r="G33" s="5"/>
      <c r="H33" s="5"/>
      <c r="I33" s="1"/>
    </row>
    <row r="34" spans="1:9">
      <c r="A34" s="1" t="s">
        <v>45</v>
      </c>
      <c r="B34" s="8">
        <v>120</v>
      </c>
      <c r="C34" s="7">
        <f>B34*16/100</f>
        <v>19.2</v>
      </c>
      <c r="D34" s="7">
        <f>B34*0.6/100</f>
        <v>0.72</v>
      </c>
      <c r="E34" s="7">
        <v>0</v>
      </c>
      <c r="F34" s="7">
        <f>B34*69/100</f>
        <v>82.8</v>
      </c>
      <c r="G34" s="5"/>
      <c r="H34" s="5"/>
      <c r="I34" s="1"/>
    </row>
    <row r="35" spans="1:9">
      <c r="A35" s="1" t="s">
        <v>7</v>
      </c>
      <c r="B35" s="8">
        <v>40</v>
      </c>
      <c r="C35" s="7">
        <f>B35*2.8/100</f>
        <v>1.1200000000000001</v>
      </c>
      <c r="D35" s="7">
        <f>B35*3.5/100</f>
        <v>1.4</v>
      </c>
      <c r="E35" s="7">
        <f>B35*4.7/100</f>
        <v>1.88</v>
      </c>
      <c r="F35" s="7">
        <f>B35*61/100</f>
        <v>24.4</v>
      </c>
      <c r="G35" s="5"/>
      <c r="H35" s="5"/>
      <c r="I35" s="1"/>
    </row>
    <row r="36" spans="1:9">
      <c r="A36" s="1" t="s">
        <v>8</v>
      </c>
      <c r="B36" s="8">
        <v>3</v>
      </c>
      <c r="C36" s="7">
        <f>B36*0.7/100</f>
        <v>2.0999999999999998E-2</v>
      </c>
      <c r="D36" s="7">
        <f>B36*72.5/100</f>
        <v>2.1749999999999998</v>
      </c>
      <c r="E36" s="7">
        <f>B36*1/100</f>
        <v>0.03</v>
      </c>
      <c r="F36" s="7">
        <f>B36*709/100</f>
        <v>21.27</v>
      </c>
      <c r="G36" s="5"/>
      <c r="H36" s="5"/>
      <c r="I36" s="1"/>
    </row>
    <row r="37" spans="1:9">
      <c r="A37" s="1" t="s">
        <v>123</v>
      </c>
      <c r="B37" s="8">
        <v>3</v>
      </c>
      <c r="C37" s="7">
        <f>B37*10.3/100</f>
        <v>0.309</v>
      </c>
      <c r="D37" s="7">
        <f>B37*1.1/100</f>
        <v>3.3000000000000002E-2</v>
      </c>
      <c r="E37" s="7">
        <f>B37*69/100</f>
        <v>2.0699999999999998</v>
      </c>
      <c r="F37" s="7">
        <f>B37*334/100</f>
        <v>10.02</v>
      </c>
      <c r="G37" s="5"/>
      <c r="H37" s="5"/>
      <c r="I37" s="1"/>
    </row>
    <row r="38" spans="1:9">
      <c r="A38" s="1" t="s">
        <v>57</v>
      </c>
      <c r="B38" s="8">
        <v>3</v>
      </c>
      <c r="C38" s="7">
        <f>B38*0/100</f>
        <v>0</v>
      </c>
      <c r="D38" s="7">
        <f>B38*99.9/100</f>
        <v>2.9970000000000003</v>
      </c>
      <c r="E38" s="7">
        <f>B38*0/100</f>
        <v>0</v>
      </c>
      <c r="F38" s="7">
        <f>B38*899/100</f>
        <v>26.97</v>
      </c>
      <c r="G38" s="5"/>
      <c r="H38" s="5"/>
      <c r="I38" s="1"/>
    </row>
    <row r="39" spans="1:9" ht="18.75" customHeight="1">
      <c r="A39" s="2" t="s">
        <v>14</v>
      </c>
      <c r="B39" s="5"/>
      <c r="C39" s="5">
        <f>C34+C35+C36+C38+C38</f>
        <v>20.341000000000001</v>
      </c>
      <c r="D39" s="5">
        <f>D34+D35+D36+D37+D38</f>
        <v>7.3250000000000011</v>
      </c>
      <c r="E39" s="5">
        <f>E34+E35+E36+E37+E38</f>
        <v>3.9799999999999995</v>
      </c>
      <c r="F39" s="5">
        <f>F34+F35+F36+F37+F38</f>
        <v>165.46</v>
      </c>
      <c r="G39" s="5">
        <v>100</v>
      </c>
      <c r="H39" s="5"/>
      <c r="I39" s="1" t="s">
        <v>212</v>
      </c>
    </row>
    <row r="40" spans="1:9">
      <c r="A40" s="2" t="s">
        <v>51</v>
      </c>
      <c r="B40" s="7"/>
      <c r="C40" s="7">
        <f t="shared" ref="C40" si="6">B40*0.7/100</f>
        <v>0</v>
      </c>
      <c r="D40" s="7">
        <f t="shared" si="5"/>
        <v>0</v>
      </c>
      <c r="E40" s="7">
        <f t="shared" si="2"/>
        <v>0</v>
      </c>
      <c r="F40" s="7">
        <f t="shared" si="3"/>
        <v>0</v>
      </c>
      <c r="G40" s="7"/>
      <c r="H40" s="7"/>
      <c r="I40" s="1"/>
    </row>
    <row r="41" spans="1:9">
      <c r="A41" s="1" t="s">
        <v>52</v>
      </c>
      <c r="B41" s="8">
        <v>25</v>
      </c>
      <c r="C41" s="7">
        <f>B41*0.8/100</f>
        <v>0.2</v>
      </c>
      <c r="D41" s="7">
        <f>B41*0.4/100</f>
        <v>0.1</v>
      </c>
      <c r="E41" s="7">
        <f>B41*6.3/100</f>
        <v>1.575</v>
      </c>
      <c r="F41" s="7">
        <f>B41*34/100</f>
        <v>8.5</v>
      </c>
      <c r="G41" s="7"/>
      <c r="H41" s="7"/>
      <c r="I41" s="1"/>
    </row>
    <row r="42" spans="1:9">
      <c r="A42" s="1" t="s">
        <v>9</v>
      </c>
      <c r="B42" s="8">
        <v>7</v>
      </c>
      <c r="C42" s="7">
        <f>B42*0/100</f>
        <v>0</v>
      </c>
      <c r="D42" s="7">
        <f>B42*0/100</f>
        <v>0</v>
      </c>
      <c r="E42" s="7">
        <f>B42*99.8/100</f>
        <v>6.9860000000000007</v>
      </c>
      <c r="F42" s="7">
        <f>B42*379/100</f>
        <v>26.53</v>
      </c>
      <c r="G42" s="7"/>
      <c r="H42" s="7"/>
      <c r="I42" s="1"/>
    </row>
    <row r="43" spans="1:9">
      <c r="A43" s="1" t="s">
        <v>53</v>
      </c>
      <c r="B43" s="8">
        <v>2</v>
      </c>
      <c r="C43" s="7">
        <f>B43*0.1/100</f>
        <v>2E-3</v>
      </c>
      <c r="D43" s="7">
        <f>B43*0/100</f>
        <v>0</v>
      </c>
      <c r="E43" s="7">
        <f>B43*0/100</f>
        <v>0</v>
      </c>
      <c r="F43" s="7">
        <f>B43*79.6/100</f>
        <v>1.5919999999999999</v>
      </c>
      <c r="G43" s="5"/>
      <c r="H43" s="5"/>
      <c r="I43" s="1"/>
    </row>
    <row r="44" spans="1:9" ht="20.25" customHeight="1">
      <c r="A44" s="2" t="s">
        <v>14</v>
      </c>
      <c r="B44" s="5"/>
      <c r="C44" s="5">
        <f>C41+C43</f>
        <v>0.20200000000000001</v>
      </c>
      <c r="D44" s="5">
        <f>D41</f>
        <v>0.1</v>
      </c>
      <c r="E44" s="5">
        <f>E41+E42</f>
        <v>8.5609999999999999</v>
      </c>
      <c r="F44" s="5">
        <f>F41+F42+F43</f>
        <v>36.622</v>
      </c>
      <c r="G44" s="5">
        <v>150</v>
      </c>
      <c r="H44" s="5"/>
      <c r="I44" s="1" t="s">
        <v>214</v>
      </c>
    </row>
    <row r="45" spans="1:9">
      <c r="A45" s="1"/>
      <c r="B45" s="7"/>
      <c r="C45" s="7"/>
      <c r="D45" s="7"/>
      <c r="E45" s="7"/>
      <c r="F45" s="7"/>
      <c r="G45" s="5"/>
      <c r="H45" s="5"/>
      <c r="I45" s="1"/>
    </row>
    <row r="46" spans="1:9">
      <c r="A46" s="1" t="s">
        <v>32</v>
      </c>
      <c r="B46" s="8">
        <v>34</v>
      </c>
      <c r="C46" s="7">
        <f>B46*6.6/100</f>
        <v>2.2439999999999998</v>
      </c>
      <c r="D46" s="7">
        <f>B46*1.2/100</f>
        <v>0.40799999999999997</v>
      </c>
      <c r="E46" s="7">
        <f>B46*34.2/100</f>
        <v>11.628000000000002</v>
      </c>
      <c r="F46" s="7">
        <f>B46*181/100</f>
        <v>61.54</v>
      </c>
      <c r="G46" s="5">
        <v>34</v>
      </c>
      <c r="H46" s="5"/>
      <c r="I46" s="1"/>
    </row>
    <row r="47" spans="1:9" ht="18" customHeight="1">
      <c r="A47" s="2" t="s">
        <v>14</v>
      </c>
      <c r="B47" s="5"/>
      <c r="C47" s="5">
        <f>C46</f>
        <v>2.2439999999999998</v>
      </c>
      <c r="D47" s="5">
        <f>D46</f>
        <v>0.40799999999999997</v>
      </c>
      <c r="E47" s="5">
        <f>E46</f>
        <v>11.628000000000002</v>
      </c>
      <c r="F47" s="5">
        <f>F46</f>
        <v>61.54</v>
      </c>
      <c r="G47" s="5"/>
      <c r="H47" s="5"/>
      <c r="I47" s="1"/>
    </row>
    <row r="48" spans="1:9">
      <c r="A48" s="2" t="s">
        <v>55</v>
      </c>
      <c r="B48" s="7"/>
      <c r="C48" s="7"/>
      <c r="D48" s="7"/>
      <c r="E48" s="7"/>
      <c r="F48" s="7"/>
      <c r="G48" s="5"/>
      <c r="H48" s="5"/>
      <c r="I48" s="1"/>
    </row>
    <row r="49" spans="1:9">
      <c r="A49" s="3" t="s">
        <v>54</v>
      </c>
      <c r="B49" s="10">
        <v>30</v>
      </c>
      <c r="C49" s="10">
        <f>B49*0.8/100</f>
        <v>0.24</v>
      </c>
      <c r="D49" s="10">
        <f>B49*0.1/100</f>
        <v>0.03</v>
      </c>
      <c r="E49" s="10">
        <f>B49*3.4/100</f>
        <v>1.02</v>
      </c>
      <c r="F49" s="10">
        <f>B49*14/100</f>
        <v>4.2</v>
      </c>
      <c r="G49" s="5"/>
      <c r="H49" s="5"/>
      <c r="I49" s="1"/>
    </row>
    <row r="50" spans="1:9">
      <c r="A50" s="1" t="s">
        <v>56</v>
      </c>
      <c r="B50" s="7">
        <v>30</v>
      </c>
      <c r="C50" s="7">
        <f>B50*1.1/100</f>
        <v>0.33</v>
      </c>
      <c r="D50" s="7">
        <f>B50*0.2/100</f>
        <v>0.06</v>
      </c>
      <c r="E50" s="7">
        <f>B50*3.3/100</f>
        <v>0.99</v>
      </c>
      <c r="F50" s="7">
        <f>B50*23/100</f>
        <v>6.9</v>
      </c>
      <c r="G50" s="5"/>
      <c r="H50" s="5"/>
      <c r="I50" s="1"/>
    </row>
    <row r="51" spans="1:9">
      <c r="A51" s="3" t="s">
        <v>57</v>
      </c>
      <c r="B51" s="10">
        <v>5</v>
      </c>
      <c r="C51" s="10">
        <f>B51*0/100</f>
        <v>0</v>
      </c>
      <c r="D51" s="10">
        <f>B51*99.9/100</f>
        <v>4.9950000000000001</v>
      </c>
      <c r="E51" s="10">
        <f>B51*0/100</f>
        <v>0</v>
      </c>
      <c r="F51" s="10">
        <f>B51*899/100</f>
        <v>44.95</v>
      </c>
      <c r="G51" s="5">
        <v>65</v>
      </c>
      <c r="H51" s="5"/>
      <c r="I51" s="1"/>
    </row>
    <row r="52" spans="1:9">
      <c r="A52" s="2" t="s">
        <v>14</v>
      </c>
      <c r="B52" s="5"/>
      <c r="C52" s="5">
        <f>C49+C50</f>
        <v>0.57000000000000006</v>
      </c>
      <c r="D52" s="5">
        <f>D49+D50+D51</f>
        <v>5.085</v>
      </c>
      <c r="E52" s="5">
        <f>E49+E50</f>
        <v>2.0099999999999998</v>
      </c>
      <c r="F52" s="5">
        <f>F50+F51</f>
        <v>51.85</v>
      </c>
      <c r="G52" s="5"/>
      <c r="H52" s="5"/>
      <c r="I52" s="1" t="s">
        <v>215</v>
      </c>
    </row>
    <row r="53" spans="1:9">
      <c r="A53" s="2" t="s">
        <v>76</v>
      </c>
      <c r="B53" s="5"/>
      <c r="C53" s="5">
        <f>C32+C39+C44+C47+C52</f>
        <v>31.513999999999999</v>
      </c>
      <c r="D53" s="5">
        <f>D32+D39+D44+D47+D52</f>
        <v>23.249000000000002</v>
      </c>
      <c r="E53" s="5">
        <f>E32+E39+E44+E47+E52</f>
        <v>39.707999999999998</v>
      </c>
      <c r="F53" s="5">
        <f>F32+F39+F44+F47+F52</f>
        <v>495.38200000000006</v>
      </c>
      <c r="G53" s="5">
        <v>511</v>
      </c>
      <c r="H53" s="5"/>
      <c r="I53" s="1"/>
    </row>
    <row r="54" spans="1:9" ht="22.5" customHeight="1">
      <c r="A54" s="2" t="s">
        <v>276</v>
      </c>
      <c r="B54" s="16"/>
      <c r="C54" s="16"/>
      <c r="D54" s="16"/>
      <c r="E54" s="16"/>
      <c r="F54" s="17"/>
      <c r="G54" s="5"/>
      <c r="H54" s="5"/>
      <c r="I54" s="1"/>
    </row>
    <row r="55" spans="1:9" ht="15.75" customHeight="1">
      <c r="A55" s="2" t="s">
        <v>82</v>
      </c>
      <c r="B55" s="16"/>
      <c r="C55" s="16"/>
      <c r="D55" s="16"/>
      <c r="E55" s="16"/>
      <c r="F55" s="17"/>
      <c r="G55" s="5"/>
      <c r="H55" s="5"/>
      <c r="I55" s="1"/>
    </row>
    <row r="56" spans="1:9" ht="18" customHeight="1">
      <c r="A56" s="3" t="s">
        <v>83</v>
      </c>
      <c r="B56" s="11">
        <v>1</v>
      </c>
      <c r="C56" s="10">
        <f>B56*0/100</f>
        <v>0</v>
      </c>
      <c r="D56" s="10">
        <f>B56*0/100</f>
        <v>0</v>
      </c>
      <c r="E56" s="10">
        <f>B56*0/100</f>
        <v>0</v>
      </c>
      <c r="F56" s="10">
        <f>B56*0/100</f>
        <v>0</v>
      </c>
      <c r="G56" s="10"/>
      <c r="H56" s="10"/>
      <c r="I56" s="3"/>
    </row>
    <row r="57" spans="1:9" ht="17.25" customHeight="1">
      <c r="A57" s="3" t="s">
        <v>9</v>
      </c>
      <c r="B57" s="11">
        <v>5</v>
      </c>
      <c r="C57" s="10">
        <f>B57*0/100</f>
        <v>0</v>
      </c>
      <c r="D57" s="10">
        <f>B57*0/100</f>
        <v>0</v>
      </c>
      <c r="E57" s="10">
        <f>B57*99.8/100</f>
        <v>4.99</v>
      </c>
      <c r="F57" s="10">
        <f t="shared" ref="F57" si="7">B57*379/100</f>
        <v>18.95</v>
      </c>
      <c r="G57" s="10"/>
      <c r="H57" s="10"/>
      <c r="I57" s="3"/>
    </row>
    <row r="58" spans="1:9" ht="15.75" customHeight="1">
      <c r="A58" s="3" t="s">
        <v>84</v>
      </c>
      <c r="B58" s="11">
        <v>8</v>
      </c>
      <c r="C58" s="10">
        <f>B58*0.9/100</f>
        <v>7.2000000000000008E-2</v>
      </c>
      <c r="D58" s="10">
        <f>B58*0/100</f>
        <v>0</v>
      </c>
      <c r="E58" s="10">
        <f>B58*3/100</f>
        <v>0.24</v>
      </c>
      <c r="F58" s="10">
        <f>B58*33/100</f>
        <v>2.64</v>
      </c>
      <c r="G58" s="10"/>
      <c r="H58" s="10"/>
      <c r="I58" s="3"/>
    </row>
    <row r="59" spans="1:9" ht="18" customHeight="1">
      <c r="A59" s="2" t="s">
        <v>14</v>
      </c>
      <c r="B59" s="5"/>
      <c r="C59" s="5">
        <f>C56+C57+C58</f>
        <v>7.2000000000000008E-2</v>
      </c>
      <c r="D59" s="5">
        <f>D56+D57+D58</f>
        <v>0</v>
      </c>
      <c r="E59" s="5">
        <f>E57+E58</f>
        <v>5.23</v>
      </c>
      <c r="F59" s="5">
        <f>F57+F58</f>
        <v>21.59</v>
      </c>
      <c r="G59" s="5">
        <v>150</v>
      </c>
      <c r="H59" s="5"/>
      <c r="I59" s="3" t="s">
        <v>228</v>
      </c>
    </row>
    <row r="60" spans="1:9" ht="15" customHeight="1">
      <c r="A60" s="2" t="s">
        <v>343</v>
      </c>
      <c r="B60" s="16"/>
      <c r="C60" s="16"/>
      <c r="D60" s="16"/>
      <c r="E60" s="16"/>
      <c r="F60" s="17"/>
      <c r="G60" s="5"/>
      <c r="H60" s="5"/>
      <c r="I60" s="1"/>
    </row>
    <row r="61" spans="1:9" ht="15.75" customHeight="1">
      <c r="A61" s="3" t="s">
        <v>344</v>
      </c>
      <c r="B61" s="8">
        <v>100</v>
      </c>
      <c r="C61" s="7">
        <f>B61*2/100</f>
        <v>2</v>
      </c>
      <c r="D61" s="7">
        <f>B61*0.4/100</f>
        <v>0.4</v>
      </c>
      <c r="E61" s="7">
        <f>B61*17.3/100</f>
        <v>17.3</v>
      </c>
      <c r="F61" s="7">
        <f>B61*80/100</f>
        <v>80</v>
      </c>
      <c r="G61" s="7"/>
      <c r="H61" s="7"/>
      <c r="I61" s="1"/>
    </row>
    <row r="62" spans="1:9" ht="15" customHeight="1">
      <c r="A62" s="3" t="s">
        <v>345</v>
      </c>
      <c r="B62" s="11">
        <v>30</v>
      </c>
      <c r="C62" s="10">
        <f>B62*3.2/100</f>
        <v>0.96</v>
      </c>
      <c r="D62" s="10">
        <f>B62*0.2/100</f>
        <v>0.06</v>
      </c>
      <c r="E62" s="10">
        <f>B62*6.5/100</f>
        <v>1.95</v>
      </c>
      <c r="F62" s="10">
        <f>B62*40/100</f>
        <v>12</v>
      </c>
      <c r="G62" s="29"/>
      <c r="H62" s="5"/>
      <c r="I62" s="1"/>
    </row>
    <row r="63" spans="1:9" ht="15" customHeight="1">
      <c r="A63" s="3" t="s">
        <v>346</v>
      </c>
      <c r="B63" s="8">
        <v>15</v>
      </c>
      <c r="C63" s="7">
        <f>B63*1.4/100</f>
        <v>0.21</v>
      </c>
      <c r="D63" s="7">
        <f>B63*0/100</f>
        <v>0</v>
      </c>
      <c r="E63" s="7">
        <f>B63*9.1/100</f>
        <v>1.365</v>
      </c>
      <c r="F63" s="7">
        <f>B63*41/100</f>
        <v>6.15</v>
      </c>
      <c r="G63" s="7"/>
      <c r="H63" s="7"/>
      <c r="I63" s="1"/>
    </row>
    <row r="64" spans="1:9" ht="17.25" customHeight="1">
      <c r="A64" s="3" t="s">
        <v>57</v>
      </c>
      <c r="B64" s="10">
        <v>5</v>
      </c>
      <c r="C64" s="10">
        <f>B64*0/100</f>
        <v>0</v>
      </c>
      <c r="D64" s="10">
        <f>B64*99.9/100</f>
        <v>4.9950000000000001</v>
      </c>
      <c r="E64" s="10">
        <f>B64*0/100</f>
        <v>0</v>
      </c>
      <c r="F64" s="10">
        <f>B64*899/100</f>
        <v>44.95</v>
      </c>
      <c r="G64" s="7"/>
      <c r="H64" s="7"/>
      <c r="I64" s="1"/>
    </row>
    <row r="65" spans="1:9" ht="15.75" customHeight="1">
      <c r="A65" s="3" t="s">
        <v>120</v>
      </c>
      <c r="B65" s="10">
        <v>20</v>
      </c>
      <c r="C65" s="10">
        <f>B65*0.8/100</f>
        <v>0.16</v>
      </c>
      <c r="D65" s="10">
        <f>B65*0.1/100</f>
        <v>0.02</v>
      </c>
      <c r="E65" s="10">
        <f>B65*3.4/100</f>
        <v>0.68</v>
      </c>
      <c r="F65" s="10">
        <f>B65*14/100</f>
        <v>2.8</v>
      </c>
      <c r="G65" s="7"/>
      <c r="H65" s="7"/>
      <c r="I65" s="1"/>
    </row>
    <row r="66" spans="1:9" ht="15.75" customHeight="1">
      <c r="A66" s="3" t="s">
        <v>16</v>
      </c>
      <c r="B66" s="8">
        <v>18</v>
      </c>
      <c r="C66" s="7">
        <f>B66*1.3/100</f>
        <v>0.23400000000000001</v>
      </c>
      <c r="D66" s="7">
        <f>B66*0.1/100</f>
        <v>1.8000000000000002E-2</v>
      </c>
      <c r="E66" s="7">
        <f>B66*8.4/100</f>
        <v>1.5120000000000002</v>
      </c>
      <c r="F66" s="7">
        <f>B66*34/100</f>
        <v>6.12</v>
      </c>
      <c r="G66" s="7"/>
      <c r="H66" s="7"/>
      <c r="I66" s="1"/>
    </row>
    <row r="67" spans="1:9" ht="15.75" customHeight="1">
      <c r="A67" s="2" t="s">
        <v>14</v>
      </c>
      <c r="B67" s="16"/>
      <c r="C67" s="16">
        <f>C61+C62+C63+C64+C65</f>
        <v>3.33</v>
      </c>
      <c r="D67" s="16">
        <f>D61+D62+D63+D64+D65</f>
        <v>5.4749999999999996</v>
      </c>
      <c r="E67" s="16">
        <f>E61+E62+E63+E64+E65</f>
        <v>21.294999999999998</v>
      </c>
      <c r="F67" s="17">
        <f>F61+F62+F63+F64+F65</f>
        <v>145.90000000000003</v>
      </c>
      <c r="G67" s="5">
        <v>190</v>
      </c>
      <c r="H67" s="5"/>
      <c r="I67" s="1" t="s">
        <v>286</v>
      </c>
    </row>
    <row r="68" spans="1:9" ht="17.25" customHeight="1">
      <c r="A68" s="2" t="s">
        <v>282</v>
      </c>
      <c r="B68" s="16"/>
      <c r="C68" s="16">
        <f>C59+C67</f>
        <v>3.4020000000000001</v>
      </c>
      <c r="D68" s="16">
        <f>D59+D67</f>
        <v>5.4749999999999996</v>
      </c>
      <c r="E68" s="16">
        <f>E59+E67</f>
        <v>26.524999999999999</v>
      </c>
      <c r="F68" s="17">
        <f>F59+F67</f>
        <v>167.49000000000004</v>
      </c>
      <c r="G68" s="5">
        <v>340</v>
      </c>
      <c r="H68" s="5"/>
      <c r="I68" s="1"/>
    </row>
    <row r="69" spans="1:9" ht="22.5" customHeight="1">
      <c r="A69" s="15" t="s">
        <v>280</v>
      </c>
      <c r="B69" s="16"/>
      <c r="C69" s="16">
        <f>C19+C20+C53+C68</f>
        <v>40.158999999999999</v>
      </c>
      <c r="D69" s="16">
        <f>D19+D20+D53+D68</f>
        <v>38.449000000000005</v>
      </c>
      <c r="E69" s="16">
        <f>E19+E20+E53+E68</f>
        <v>107.84299999999999</v>
      </c>
      <c r="F69" s="17">
        <f>F19+F20+F53+F68</f>
        <v>1236.1880000000001</v>
      </c>
      <c r="G69" s="5"/>
      <c r="H69" s="5"/>
      <c r="I69" s="1"/>
    </row>
    <row r="70" spans="1:9" ht="22.5" customHeight="1">
      <c r="A70" s="15" t="s">
        <v>196</v>
      </c>
      <c r="B70" s="16">
        <v>2.5499999999999998</v>
      </c>
      <c r="C70" s="16"/>
      <c r="D70" s="16"/>
      <c r="E70" s="16"/>
      <c r="F70" s="17"/>
      <c r="G70" s="5"/>
      <c r="H70" s="5"/>
      <c r="I70" s="1"/>
    </row>
    <row r="71" spans="1:9" ht="20.25" customHeight="1">
      <c r="A71" s="2" t="s">
        <v>284</v>
      </c>
      <c r="B71" s="7"/>
      <c r="C71" s="10"/>
      <c r="D71" s="10"/>
      <c r="E71" s="10"/>
      <c r="F71" s="7"/>
      <c r="G71" s="7"/>
      <c r="H71" s="7"/>
      <c r="I71" s="1"/>
    </row>
  </sheetData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topLeftCell="A40" workbookViewId="0">
      <selection activeCell="G16" sqref="G16"/>
    </sheetView>
  </sheetViews>
  <sheetFormatPr defaultRowHeight="15"/>
  <cols>
    <col min="1" max="1" width="51.42578125" customWidth="1"/>
    <col min="2" max="2" width="7.5703125" customWidth="1"/>
    <col min="7" max="8" width="7.5703125" customWidth="1"/>
    <col min="9" max="9" width="13.7109375" customWidth="1"/>
  </cols>
  <sheetData>
    <row r="1" spans="1:9">
      <c r="A1" s="2" t="s">
        <v>36</v>
      </c>
      <c r="B1" s="7"/>
      <c r="C1" s="10"/>
      <c r="D1" s="10"/>
      <c r="E1" s="10"/>
      <c r="F1" s="7"/>
      <c r="G1" s="7"/>
      <c r="H1" s="7" t="s">
        <v>79</v>
      </c>
      <c r="I1" s="2" t="s">
        <v>197</v>
      </c>
    </row>
    <row r="2" spans="1:9">
      <c r="A2" s="2" t="s">
        <v>287</v>
      </c>
      <c r="B2" s="7"/>
      <c r="C2" s="7"/>
      <c r="D2" s="7"/>
      <c r="E2" s="7"/>
      <c r="F2" s="7"/>
      <c r="G2" s="7"/>
      <c r="H2" s="7"/>
      <c r="I2" s="1"/>
    </row>
    <row r="3" spans="1:9">
      <c r="A3" s="1" t="s">
        <v>38</v>
      </c>
      <c r="B3" s="8">
        <v>20</v>
      </c>
      <c r="C3" s="7">
        <f>B3*11/100</f>
        <v>2.2000000000000002</v>
      </c>
      <c r="D3" s="7">
        <f>B3*6.2/100</f>
        <v>1.24</v>
      </c>
      <c r="E3" s="7">
        <f>B3*50.1/100</f>
        <v>10.02</v>
      </c>
      <c r="F3" s="7">
        <f>B3*305/100</f>
        <v>61</v>
      </c>
      <c r="G3" s="7"/>
      <c r="H3" s="7"/>
      <c r="I3" s="1"/>
    </row>
    <row r="4" spans="1:9">
      <c r="A4" s="1" t="s">
        <v>7</v>
      </c>
      <c r="B4" s="8">
        <v>130</v>
      </c>
      <c r="C4" s="7">
        <f>B4*2.8/100</f>
        <v>3.64</v>
      </c>
      <c r="D4" s="7">
        <f>B4*3.5/100</f>
        <v>4.55</v>
      </c>
      <c r="E4" s="7">
        <f>B4*4.7/100</f>
        <v>6.11</v>
      </c>
      <c r="F4" s="7">
        <f>B4*61/100</f>
        <v>79.3</v>
      </c>
      <c r="G4" s="7"/>
      <c r="H4" s="7"/>
      <c r="I4" s="1"/>
    </row>
    <row r="5" spans="1:9">
      <c r="A5" s="1" t="s">
        <v>8</v>
      </c>
      <c r="B5" s="8">
        <v>3</v>
      </c>
      <c r="C5" s="7">
        <f>B5*0.7/100</f>
        <v>2.0999999999999998E-2</v>
      </c>
      <c r="D5" s="7">
        <f>B5*72.5/100</f>
        <v>2.1749999999999998</v>
      </c>
      <c r="E5" s="7">
        <f>B5*1/100</f>
        <v>0.03</v>
      </c>
      <c r="F5" s="7">
        <f>B5*709/100</f>
        <v>21.27</v>
      </c>
      <c r="G5" s="7"/>
      <c r="H5" s="7"/>
      <c r="I5" s="1"/>
    </row>
    <row r="6" spans="1:9">
      <c r="A6" s="1" t="s">
        <v>9</v>
      </c>
      <c r="B6" s="8">
        <v>3</v>
      </c>
      <c r="C6" s="7">
        <f>B6*0/100</f>
        <v>0</v>
      </c>
      <c r="D6" s="7">
        <f>B6*0/100</f>
        <v>0</v>
      </c>
      <c r="E6" s="7">
        <f>B6*99.8/100</f>
        <v>2.9939999999999998</v>
      </c>
      <c r="F6" s="7">
        <f>B6*379/100</f>
        <v>11.37</v>
      </c>
      <c r="G6" s="7"/>
      <c r="H6" s="7"/>
      <c r="I6" s="1"/>
    </row>
    <row r="7" spans="1:9">
      <c r="A7" s="2" t="s">
        <v>14</v>
      </c>
      <c r="B7" s="5"/>
      <c r="C7" s="5">
        <f>C3+C4+C5</f>
        <v>5.8609999999999998</v>
      </c>
      <c r="D7" s="5">
        <f>D3+D4+D5+D6</f>
        <v>7.9649999999999999</v>
      </c>
      <c r="E7" s="5">
        <f>E3+E4+E5+E6</f>
        <v>19.154</v>
      </c>
      <c r="F7" s="5">
        <f>F3+F4+F5+F6</f>
        <v>172.94000000000003</v>
      </c>
      <c r="G7" s="5">
        <v>150</v>
      </c>
      <c r="H7" s="5"/>
      <c r="I7" s="1" t="s">
        <v>288</v>
      </c>
    </row>
    <row r="8" spans="1:9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>
      <c r="A9" s="1" t="s">
        <v>7</v>
      </c>
      <c r="B9" s="7">
        <v>130</v>
      </c>
      <c r="C9" s="10">
        <f>B9*2.8/100</f>
        <v>3.64</v>
      </c>
      <c r="D9" s="10">
        <f>B9*3.5/100</f>
        <v>4.55</v>
      </c>
      <c r="E9" s="10">
        <f>B9*4.7/100</f>
        <v>6.11</v>
      </c>
      <c r="F9" s="10">
        <f>B9*61/100</f>
        <v>79.3</v>
      </c>
      <c r="G9" s="5"/>
      <c r="H9" s="5"/>
      <c r="I9" s="1"/>
    </row>
    <row r="10" spans="1:9">
      <c r="A10" s="1" t="s">
        <v>89</v>
      </c>
      <c r="B10" s="8">
        <v>2</v>
      </c>
      <c r="C10" s="10">
        <f>B10*24.2/100</f>
        <v>0.48399999999999999</v>
      </c>
      <c r="D10" s="10">
        <f>B10*17.5/100</f>
        <v>0.35</v>
      </c>
      <c r="E10" s="10">
        <f>B10*27.9/100</f>
        <v>0.55799999999999994</v>
      </c>
      <c r="F10" s="10">
        <f>B10*373/100</f>
        <v>7.46</v>
      </c>
      <c r="G10" s="5"/>
      <c r="H10" s="5"/>
      <c r="I10" s="1"/>
    </row>
    <row r="11" spans="1:9">
      <c r="A11" s="3" t="s">
        <v>9</v>
      </c>
      <c r="B11" s="11">
        <v>5</v>
      </c>
      <c r="C11" s="10">
        <f>B11*0/100</f>
        <v>0</v>
      </c>
      <c r="D11" s="10">
        <f>B11*0/100</f>
        <v>0</v>
      </c>
      <c r="E11" s="10">
        <f t="shared" ref="E11:E40" si="0">B11*99.8/100</f>
        <v>4.99</v>
      </c>
      <c r="F11" s="10">
        <f t="shared" ref="F11:F41" si="1">B11*379/100</f>
        <v>18.95</v>
      </c>
      <c r="G11" s="5">
        <v>150</v>
      </c>
      <c r="H11" s="5"/>
      <c r="I11" s="1"/>
    </row>
    <row r="12" spans="1:9">
      <c r="A12" s="2" t="s">
        <v>14</v>
      </c>
      <c r="B12" s="5"/>
      <c r="C12" s="5">
        <f>C9+C10+C11</f>
        <v>4.1240000000000006</v>
      </c>
      <c r="D12" s="5">
        <f>D9+D10+D11</f>
        <v>4.8999999999999995</v>
      </c>
      <c r="E12" s="5">
        <f>E9+E10+E11</f>
        <v>11.658000000000001</v>
      </c>
      <c r="F12" s="5">
        <f>F9+F10+F11</f>
        <v>105.71</v>
      </c>
      <c r="G12" s="5"/>
      <c r="H12" s="5"/>
      <c r="I12" s="1" t="s">
        <v>217</v>
      </c>
    </row>
    <row r="13" spans="1:9">
      <c r="A13" s="1" t="s">
        <v>12</v>
      </c>
      <c r="B13" s="7">
        <v>50</v>
      </c>
      <c r="C13" s="10">
        <f>B13*7.7/100</f>
        <v>3.85</v>
      </c>
      <c r="D13" s="10">
        <f>B13*3/100</f>
        <v>1.5</v>
      </c>
      <c r="E13" s="10">
        <f>B13*49.8/100</f>
        <v>24.9</v>
      </c>
      <c r="F13" s="10">
        <f>B13*262/100</f>
        <v>131</v>
      </c>
      <c r="G13" s="5">
        <v>50</v>
      </c>
      <c r="H13" s="5"/>
      <c r="I13" s="1"/>
    </row>
    <row r="14" spans="1:9">
      <c r="A14" s="1" t="s">
        <v>8</v>
      </c>
      <c r="B14" s="7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>
      <c r="A15" s="2" t="s">
        <v>75</v>
      </c>
      <c r="B15" s="5"/>
      <c r="C15" s="5">
        <f>C7+C12+C13+C14</f>
        <v>13.87</v>
      </c>
      <c r="D15" s="5">
        <f>D7+D12+D13+D14</f>
        <v>17.989999999999998</v>
      </c>
      <c r="E15" s="5">
        <f>E12+E13+E14</f>
        <v>36.607999999999997</v>
      </c>
      <c r="F15" s="5">
        <f>F7+F12+F13+F14</f>
        <v>445.1</v>
      </c>
      <c r="G15" s="5">
        <v>355</v>
      </c>
      <c r="H15" s="5"/>
      <c r="I15" s="1"/>
    </row>
    <row r="16" spans="1:9">
      <c r="A16" s="2" t="s">
        <v>145</v>
      </c>
      <c r="B16" s="9">
        <v>120</v>
      </c>
      <c r="C16" s="5">
        <f>B16*0.9/100</f>
        <v>1.08</v>
      </c>
      <c r="D16" s="5">
        <f>B16*0.2/100</f>
        <v>0.24</v>
      </c>
      <c r="E16" s="5">
        <f>B16*8.1/100</f>
        <v>9.7200000000000006</v>
      </c>
      <c r="F16" s="5">
        <f>B16*40/100</f>
        <v>48</v>
      </c>
      <c r="G16" s="5">
        <v>120</v>
      </c>
      <c r="H16" s="5"/>
      <c r="I16" s="1" t="s">
        <v>218</v>
      </c>
    </row>
    <row r="17" spans="1:9">
      <c r="A17" s="2" t="s">
        <v>33</v>
      </c>
      <c r="B17" s="7"/>
      <c r="C17" s="10"/>
      <c r="D17" s="10"/>
      <c r="E17" s="10"/>
      <c r="F17" s="10"/>
      <c r="G17" s="7"/>
      <c r="H17" s="7"/>
      <c r="I17" s="1"/>
    </row>
    <row r="18" spans="1:9">
      <c r="A18" s="2" t="s">
        <v>64</v>
      </c>
      <c r="B18" s="7"/>
      <c r="C18" s="10"/>
      <c r="D18" s="10"/>
      <c r="E18" s="10"/>
      <c r="F18" s="10"/>
      <c r="G18" s="7"/>
      <c r="H18" s="7"/>
      <c r="I18" s="1"/>
    </row>
    <row r="19" spans="1:9">
      <c r="A19" s="1" t="s">
        <v>135</v>
      </c>
      <c r="B19" s="8">
        <v>25</v>
      </c>
      <c r="C19" s="10">
        <f>B19*18.2/100</f>
        <v>4.55</v>
      </c>
      <c r="D19" s="10">
        <f>B19*18.4/100</f>
        <v>4.5999999999999996</v>
      </c>
      <c r="E19" s="10">
        <f>B19*0.7/100</f>
        <v>0.17499999999999999</v>
      </c>
      <c r="F19" s="10">
        <f>B19*241/100</f>
        <v>60.25</v>
      </c>
      <c r="G19" s="7"/>
      <c r="H19" s="7"/>
      <c r="I19" s="1"/>
    </row>
    <row r="20" spans="1:9">
      <c r="A20" s="1" t="s">
        <v>66</v>
      </c>
      <c r="B20" s="8">
        <v>7</v>
      </c>
      <c r="C20" s="10">
        <f>B20*7/100</f>
        <v>0.49</v>
      </c>
      <c r="D20" s="10">
        <f>B20*1/100</f>
        <v>7.0000000000000007E-2</v>
      </c>
      <c r="E20" s="10">
        <f>B20*71.4/100</f>
        <v>4.9980000000000011</v>
      </c>
      <c r="F20" s="10">
        <f>B20*330/100</f>
        <v>23.1</v>
      </c>
      <c r="G20" s="7"/>
      <c r="H20" s="7"/>
      <c r="I20" s="1"/>
    </row>
    <row r="21" spans="1:9">
      <c r="A21" s="1" t="s">
        <v>15</v>
      </c>
      <c r="B21" s="8">
        <v>40</v>
      </c>
      <c r="C21" s="10">
        <f>B21*2/100</f>
        <v>0.8</v>
      </c>
      <c r="D21" s="10">
        <f>B21*0.4/100</f>
        <v>0.16</v>
      </c>
      <c r="E21" s="10">
        <f>B21*17.3/100</f>
        <v>6.92</v>
      </c>
      <c r="F21" s="10">
        <f>B21*80/100</f>
        <v>32</v>
      </c>
      <c r="G21" s="7"/>
      <c r="H21" s="7"/>
      <c r="I21" s="1"/>
    </row>
    <row r="22" spans="1:9">
      <c r="A22" s="1" t="s">
        <v>16</v>
      </c>
      <c r="B22" s="8">
        <v>11</v>
      </c>
      <c r="C22" s="10">
        <f>B22*1.3/100</f>
        <v>0.14300000000000002</v>
      </c>
      <c r="D22" s="10">
        <f>B22*0.1/100</f>
        <v>1.1000000000000001E-2</v>
      </c>
      <c r="E22" s="10">
        <f>B22*8.4/100</f>
        <v>0.92400000000000004</v>
      </c>
      <c r="F22" s="10">
        <f>B22*34/100</f>
        <v>3.74</v>
      </c>
      <c r="G22" s="7"/>
      <c r="H22" s="7"/>
      <c r="I22" s="1"/>
    </row>
    <row r="23" spans="1:9">
      <c r="A23" s="1" t="s">
        <v>20</v>
      </c>
      <c r="B23" s="8">
        <v>11</v>
      </c>
      <c r="C23" s="10">
        <f>B23*1.4/100</f>
        <v>0.154</v>
      </c>
      <c r="D23" s="10">
        <f>B23*0/100</f>
        <v>0</v>
      </c>
      <c r="E23" s="10">
        <f>B23*9.1/100</f>
        <v>1.0009999999999999</v>
      </c>
      <c r="F23" s="10">
        <f t="shared" si="1"/>
        <v>41.69</v>
      </c>
      <c r="G23" s="7"/>
      <c r="H23" s="7"/>
      <c r="I23" s="1"/>
    </row>
    <row r="24" spans="1:9">
      <c r="A24" s="1" t="s">
        <v>28</v>
      </c>
      <c r="B24" s="8">
        <v>2</v>
      </c>
      <c r="C24" s="10">
        <f>B24*4.8/100</f>
        <v>9.6000000000000002E-2</v>
      </c>
      <c r="D24" s="10">
        <f>B24*0/100</f>
        <v>0</v>
      </c>
      <c r="E24" s="10">
        <f>B24*19/100</f>
        <v>0.38</v>
      </c>
      <c r="F24" s="10">
        <f>B24*99/100</f>
        <v>1.98</v>
      </c>
      <c r="G24" s="7"/>
      <c r="H24" s="7"/>
      <c r="I24" s="1"/>
    </row>
    <row r="25" spans="1:9">
      <c r="A25" s="1" t="s">
        <v>8</v>
      </c>
      <c r="B25" s="8">
        <v>2</v>
      </c>
      <c r="C25" s="10">
        <f>B25*0.7/100</f>
        <v>1.3999999999999999E-2</v>
      </c>
      <c r="D25" s="10">
        <f>B25*72.5/100</f>
        <v>1.45</v>
      </c>
      <c r="E25" s="10">
        <f>B25*1/100</f>
        <v>0.02</v>
      </c>
      <c r="F25" s="10">
        <f>B25*709/100</f>
        <v>14.18</v>
      </c>
      <c r="G25" s="7"/>
      <c r="H25" s="7"/>
      <c r="I25" s="1"/>
    </row>
    <row r="26" spans="1:9">
      <c r="A26" s="2" t="s">
        <v>14</v>
      </c>
      <c r="B26" s="5"/>
      <c r="C26" s="5">
        <f>C19+C20+C21+C22+C23+C24+C25</f>
        <v>6.2469999999999999</v>
      </c>
      <c r="D26" s="5">
        <f>D19+D20+D21+D22+D23+D24+D25</f>
        <v>6.2910000000000004</v>
      </c>
      <c r="E26" s="5">
        <f>E19+E20+E21+E22+E23+E24+E25</f>
        <v>14.417999999999999</v>
      </c>
      <c r="F26" s="5">
        <f>F19+F20+F21+F22+F23+F24+F25</f>
        <v>176.93999999999997</v>
      </c>
      <c r="G26" s="5">
        <v>150</v>
      </c>
      <c r="H26" s="5"/>
      <c r="I26" s="1" t="s">
        <v>219</v>
      </c>
    </row>
    <row r="27" spans="1:9">
      <c r="A27" s="2" t="s">
        <v>67</v>
      </c>
      <c r="B27" s="7"/>
      <c r="C27" s="10"/>
      <c r="D27" s="10"/>
      <c r="E27" s="10"/>
      <c r="F27" s="10"/>
      <c r="G27" s="7"/>
      <c r="H27" s="7"/>
      <c r="I27" s="1"/>
    </row>
    <row r="28" spans="1:9">
      <c r="A28" s="1" t="s">
        <v>68</v>
      </c>
      <c r="B28" s="8">
        <v>50</v>
      </c>
      <c r="C28" s="10">
        <f>B28*17.9/100</f>
        <v>8.9499999999999993</v>
      </c>
      <c r="D28" s="10">
        <f>B28*3.7/100</f>
        <v>1.85</v>
      </c>
      <c r="E28" s="10">
        <f>B28*0/100</f>
        <v>0</v>
      </c>
      <c r="F28" s="10">
        <f>B28*105/100</f>
        <v>52.5</v>
      </c>
      <c r="G28" s="7"/>
      <c r="H28" s="7"/>
      <c r="I28" s="1"/>
    </row>
    <row r="29" spans="1:9">
      <c r="A29" s="1" t="s">
        <v>70</v>
      </c>
      <c r="B29" s="8">
        <v>5</v>
      </c>
      <c r="C29" s="10">
        <f>B29*10.6/100</f>
        <v>0.53</v>
      </c>
      <c r="D29" s="10">
        <f>B29*1.3/100</f>
        <v>6.5000000000000002E-2</v>
      </c>
      <c r="E29" s="10">
        <f>B29*67.7/100</f>
        <v>3.3849999999999998</v>
      </c>
      <c r="F29" s="10">
        <f>B29*331/100</f>
        <v>16.55</v>
      </c>
      <c r="G29" s="7"/>
      <c r="H29" s="7"/>
      <c r="I29" s="1"/>
    </row>
    <row r="30" spans="1:9">
      <c r="A30" s="1" t="s">
        <v>20</v>
      </c>
      <c r="B30" s="8">
        <v>15</v>
      </c>
      <c r="C30" s="10">
        <f>B30*1.4/100</f>
        <v>0.21</v>
      </c>
      <c r="D30" s="10">
        <f>B30*0/100</f>
        <v>0</v>
      </c>
      <c r="E30" s="10">
        <f>B30*9.1/100</f>
        <v>1.365</v>
      </c>
      <c r="F30" s="10">
        <f>B30*41/100</f>
        <v>6.15</v>
      </c>
      <c r="G30" s="7"/>
      <c r="H30" s="7"/>
      <c r="I30" s="1"/>
    </row>
    <row r="31" spans="1:9">
      <c r="A31" s="1" t="s">
        <v>16</v>
      </c>
      <c r="B31" s="8">
        <v>15</v>
      </c>
      <c r="C31" s="10">
        <f>B31*1.3/100</f>
        <v>0.19500000000000001</v>
      </c>
      <c r="D31" s="10">
        <f>B31*0/100</f>
        <v>0</v>
      </c>
      <c r="E31" s="10">
        <f>B31*8.4/100</f>
        <v>1.26</v>
      </c>
      <c r="F31" s="10">
        <f>B31*34/100</f>
        <v>5.0999999999999996</v>
      </c>
      <c r="G31" s="7"/>
      <c r="H31" s="7"/>
      <c r="I31" s="1"/>
    </row>
    <row r="32" spans="1:9">
      <c r="A32" s="1" t="s">
        <v>69</v>
      </c>
      <c r="B32" s="8">
        <v>12</v>
      </c>
      <c r="C32" s="10">
        <f>B32*2.8/100</f>
        <v>0.33599999999999997</v>
      </c>
      <c r="D32" s="10">
        <f>B32*15/100</f>
        <v>1.8</v>
      </c>
      <c r="E32" s="10">
        <f>B32*3.2/100</f>
        <v>0.38400000000000006</v>
      </c>
      <c r="F32" s="10">
        <f>B32*206/100</f>
        <v>24.72</v>
      </c>
      <c r="G32" s="5"/>
      <c r="H32" s="5"/>
      <c r="I32" s="1"/>
    </row>
    <row r="33" spans="1:9">
      <c r="A33" s="2" t="s">
        <v>14</v>
      </c>
      <c r="B33" s="5"/>
      <c r="C33" s="5">
        <f>C28+C29+C30+C31+C32</f>
        <v>10.221</v>
      </c>
      <c r="D33" s="5">
        <f>D28+D29+D30+D31+D32</f>
        <v>3.7149999999999999</v>
      </c>
      <c r="E33" s="5">
        <f>E28+E29+E30+E31+E32</f>
        <v>6.3940000000000001</v>
      </c>
      <c r="F33" s="5">
        <f>F28+F29+F30+F31+F32</f>
        <v>105.02</v>
      </c>
      <c r="G33" s="5" t="s">
        <v>341</v>
      </c>
      <c r="H33" s="5"/>
      <c r="I33" s="1" t="s">
        <v>220</v>
      </c>
    </row>
    <row r="34" spans="1:9">
      <c r="A34" s="2" t="s">
        <v>71</v>
      </c>
      <c r="B34" s="7"/>
      <c r="C34" s="10"/>
      <c r="D34" s="10"/>
      <c r="E34" s="10"/>
      <c r="F34" s="10"/>
      <c r="G34" s="5"/>
      <c r="H34" s="5"/>
      <c r="I34" s="1"/>
    </row>
    <row r="35" spans="1:9">
      <c r="A35" s="1" t="s">
        <v>15</v>
      </c>
      <c r="B35" s="8">
        <v>90</v>
      </c>
      <c r="C35" s="10">
        <f>B35*2/100</f>
        <v>1.8</v>
      </c>
      <c r="D35" s="10">
        <f>B35*0.4/100</f>
        <v>0.36</v>
      </c>
      <c r="E35" s="10">
        <f>B35*17.3/100</f>
        <v>15.57</v>
      </c>
      <c r="F35" s="10">
        <f>B35*80/100</f>
        <v>72</v>
      </c>
      <c r="G35" s="5"/>
      <c r="H35" s="5"/>
      <c r="I35" s="1"/>
    </row>
    <row r="36" spans="1:9">
      <c r="A36" s="1" t="s">
        <v>7</v>
      </c>
      <c r="B36" s="8">
        <v>30</v>
      </c>
      <c r="C36" s="10">
        <f>B36*2.8/100</f>
        <v>0.84</v>
      </c>
      <c r="D36" s="10">
        <f>B36*3.5/100</f>
        <v>1.05</v>
      </c>
      <c r="E36" s="10">
        <f>B36*4.7/100</f>
        <v>1.41</v>
      </c>
      <c r="F36" s="10">
        <f>B36*61/100</f>
        <v>18.3</v>
      </c>
      <c r="G36" s="5"/>
      <c r="H36" s="5"/>
      <c r="I36" s="1"/>
    </row>
    <row r="37" spans="1:9">
      <c r="A37" s="1" t="s">
        <v>8</v>
      </c>
      <c r="B37" s="8">
        <v>2</v>
      </c>
      <c r="C37" s="10">
        <f>B37*0.7/100</f>
        <v>1.3999999999999999E-2</v>
      </c>
      <c r="D37" s="10">
        <f>B37*72.5/100</f>
        <v>1.45</v>
      </c>
      <c r="E37" s="10">
        <f>B37*1/100</f>
        <v>0.02</v>
      </c>
      <c r="F37" s="10">
        <f>B37*709/100</f>
        <v>14.18</v>
      </c>
      <c r="G37" s="5"/>
      <c r="H37" s="5"/>
      <c r="I37" s="1"/>
    </row>
    <row r="38" spans="1:9">
      <c r="A38" s="2" t="s">
        <v>14</v>
      </c>
      <c r="B38" s="5"/>
      <c r="C38" s="5">
        <f>C35+C36+C37</f>
        <v>2.6539999999999999</v>
      </c>
      <c r="D38" s="5">
        <f>D35+D36+D37</f>
        <v>2.8600000000000003</v>
      </c>
      <c r="E38" s="5">
        <f>E35+E36+E37</f>
        <v>17</v>
      </c>
      <c r="F38" s="5">
        <f>F35+F36+F37</f>
        <v>104.47999999999999</v>
      </c>
      <c r="G38" s="5">
        <v>120</v>
      </c>
      <c r="H38" s="5"/>
      <c r="I38" s="1" t="s">
        <v>221</v>
      </c>
    </row>
    <row r="39" spans="1:9">
      <c r="A39" s="2" t="s">
        <v>222</v>
      </c>
      <c r="B39" s="7"/>
      <c r="C39" s="10"/>
      <c r="D39" s="10"/>
      <c r="E39" s="10"/>
      <c r="F39" s="10"/>
      <c r="G39" s="5"/>
      <c r="H39" s="5"/>
      <c r="I39" s="1"/>
    </row>
    <row r="40" spans="1:9">
      <c r="A40" s="1" t="s">
        <v>223</v>
      </c>
      <c r="B40" s="8">
        <v>9</v>
      </c>
      <c r="C40" s="10">
        <f>B40*3.4/100</f>
        <v>0.30599999999999999</v>
      </c>
      <c r="D40" s="10">
        <f>B40*0/100</f>
        <v>0</v>
      </c>
      <c r="E40" s="10">
        <f t="shared" si="0"/>
        <v>8.9819999999999993</v>
      </c>
      <c r="F40" s="10">
        <f>B40*110/100</f>
        <v>9.9</v>
      </c>
      <c r="G40" s="5"/>
      <c r="H40" s="5"/>
      <c r="I40" s="1"/>
    </row>
    <row r="41" spans="1:9">
      <c r="A41" s="1" t="s">
        <v>9</v>
      </c>
      <c r="B41" s="8">
        <v>7</v>
      </c>
      <c r="C41" s="10">
        <f>B41*0/100</f>
        <v>0</v>
      </c>
      <c r="D41" s="10">
        <f>B41*0/100</f>
        <v>0</v>
      </c>
      <c r="E41" s="10">
        <f>B41*99.8/100</f>
        <v>6.9860000000000007</v>
      </c>
      <c r="F41" s="10">
        <f t="shared" si="1"/>
        <v>26.53</v>
      </c>
      <c r="G41" s="5"/>
      <c r="H41" s="5"/>
      <c r="I41" s="1"/>
    </row>
    <row r="42" spans="1:9">
      <c r="A42" s="2" t="s">
        <v>74</v>
      </c>
      <c r="B42" s="5"/>
      <c r="C42" s="5">
        <f>C40+C41</f>
        <v>0.30599999999999999</v>
      </c>
      <c r="D42" s="5">
        <f>D40+D41</f>
        <v>0</v>
      </c>
      <c r="E42" s="5">
        <f>E40+E41</f>
        <v>15.968</v>
      </c>
      <c r="F42" s="5">
        <f>F40+F41</f>
        <v>36.43</v>
      </c>
      <c r="G42" s="5">
        <v>150</v>
      </c>
      <c r="H42" s="5"/>
      <c r="I42" s="1" t="s">
        <v>224</v>
      </c>
    </row>
    <row r="43" spans="1:9">
      <c r="A43" s="1" t="s">
        <v>32</v>
      </c>
      <c r="B43" s="8">
        <v>34</v>
      </c>
      <c r="C43" s="10">
        <f>B43*6.6/100</f>
        <v>2.2439999999999998</v>
      </c>
      <c r="D43" s="10">
        <f>B43*1.2/100</f>
        <v>0.40799999999999997</v>
      </c>
      <c r="E43" s="10">
        <f>B43*34.2/100</f>
        <v>11.628000000000002</v>
      </c>
      <c r="F43" s="10">
        <f>B43*181/100</f>
        <v>61.54</v>
      </c>
      <c r="G43" s="5">
        <v>34</v>
      </c>
      <c r="H43" s="5"/>
      <c r="I43" s="1"/>
    </row>
    <row r="44" spans="1:9" ht="20.25" customHeight="1">
      <c r="A44" s="2" t="s">
        <v>14</v>
      </c>
      <c r="B44" s="5"/>
      <c r="C44" s="5">
        <f>C43</f>
        <v>2.2439999999999998</v>
      </c>
      <c r="D44" s="5">
        <f>D43</f>
        <v>0.40799999999999997</v>
      </c>
      <c r="E44" s="5">
        <f>E43</f>
        <v>11.628000000000002</v>
      </c>
      <c r="F44" s="5">
        <f>F43</f>
        <v>61.54</v>
      </c>
      <c r="G44" s="7"/>
      <c r="H44" s="7"/>
      <c r="I44" s="1"/>
    </row>
    <row r="45" spans="1:9">
      <c r="A45" s="2" t="s">
        <v>225</v>
      </c>
      <c r="B45" s="8"/>
      <c r="C45" s="10"/>
      <c r="D45" s="10"/>
      <c r="E45" s="10"/>
      <c r="F45" s="10"/>
      <c r="G45" s="7"/>
      <c r="H45" s="7"/>
      <c r="I45" s="1"/>
    </row>
    <row r="46" spans="1:9">
      <c r="A46" s="1" t="s">
        <v>26</v>
      </c>
      <c r="B46" s="8">
        <v>49</v>
      </c>
      <c r="C46" s="10">
        <f>B46*1.8/100</f>
        <v>0.88200000000000001</v>
      </c>
      <c r="D46" s="10">
        <f>B46*0.1/100</f>
        <v>4.9000000000000002E-2</v>
      </c>
      <c r="E46" s="10">
        <f>B46*4.7/100</f>
        <v>2.3029999999999999</v>
      </c>
      <c r="F46" s="10">
        <f>B46*27/100</f>
        <v>13.23</v>
      </c>
      <c r="G46" s="7"/>
      <c r="H46" s="7"/>
      <c r="I46" s="1"/>
    </row>
    <row r="47" spans="1:9">
      <c r="A47" s="1" t="s">
        <v>16</v>
      </c>
      <c r="B47" s="8">
        <v>7</v>
      </c>
      <c r="C47" s="10">
        <f>B47*1.3/100</f>
        <v>9.0999999999999998E-2</v>
      </c>
      <c r="D47" s="10">
        <f>B47*0.1/100</f>
        <v>7.000000000000001E-3</v>
      </c>
      <c r="E47" s="10">
        <f>B47*8.4/100</f>
        <v>0.58800000000000008</v>
      </c>
      <c r="F47" s="10">
        <f>B47*34/100</f>
        <v>2.38</v>
      </c>
      <c r="G47" s="7"/>
      <c r="H47" s="7"/>
      <c r="I47" s="1"/>
    </row>
    <row r="48" spans="1:9">
      <c r="A48" s="1" t="s">
        <v>57</v>
      </c>
      <c r="B48" s="8">
        <v>4</v>
      </c>
      <c r="C48" s="10">
        <f>B48*0/100</f>
        <v>0</v>
      </c>
      <c r="D48" s="10">
        <f>B48*99.9/100</f>
        <v>3.9960000000000004</v>
      </c>
      <c r="E48" s="10">
        <f>B48*0/100</f>
        <v>0</v>
      </c>
      <c r="F48" s="10">
        <f>B48*899/100</f>
        <v>35.96</v>
      </c>
      <c r="G48" s="7"/>
      <c r="H48" s="7"/>
      <c r="I48" s="1"/>
    </row>
    <row r="49" spans="1:9">
      <c r="A49" s="2" t="s">
        <v>14</v>
      </c>
      <c r="B49" s="5"/>
      <c r="C49" s="5">
        <f>C46+C47+C48</f>
        <v>0.97299999999999998</v>
      </c>
      <c r="D49" s="5">
        <f>D46+D47+D48</f>
        <v>4.0520000000000005</v>
      </c>
      <c r="E49" s="5">
        <f>E46+E47++E48</f>
        <v>2.891</v>
      </c>
      <c r="F49" s="5">
        <f>F46+F47+F48</f>
        <v>51.57</v>
      </c>
      <c r="G49" s="5">
        <v>60</v>
      </c>
      <c r="H49" s="5"/>
      <c r="I49" s="1" t="s">
        <v>226</v>
      </c>
    </row>
    <row r="50" spans="1:9" ht="24.75" customHeight="1">
      <c r="A50" s="2" t="s">
        <v>76</v>
      </c>
      <c r="B50" s="5"/>
      <c r="C50" s="5">
        <f>C33+C38+C42+C44+C49</f>
        <v>16.398</v>
      </c>
      <c r="D50" s="5">
        <f>D26+D33+D38+D44+D49</f>
        <v>17.326000000000001</v>
      </c>
      <c r="E50" s="5">
        <f>E26+E33+E38+E42+E44+E49</f>
        <v>68.299000000000007</v>
      </c>
      <c r="F50" s="5">
        <f>F26+F33+F38+F42+F44+F49</f>
        <v>535.98</v>
      </c>
      <c r="G50" s="5">
        <v>574</v>
      </c>
      <c r="H50" s="5"/>
      <c r="I50" s="1"/>
    </row>
    <row r="51" spans="1:9" ht="21.75" customHeight="1">
      <c r="A51" s="1" t="s">
        <v>196</v>
      </c>
      <c r="B51" s="7">
        <v>2.5499999999999998</v>
      </c>
      <c r="C51" s="10"/>
      <c r="D51" s="10"/>
      <c r="E51" s="10"/>
      <c r="F51" s="10"/>
      <c r="G51" s="7"/>
      <c r="H51" s="7"/>
      <c r="I51" s="1"/>
    </row>
    <row r="52" spans="1:9" ht="20.25" customHeight="1">
      <c r="A52" s="2" t="s">
        <v>276</v>
      </c>
      <c r="B52" s="16"/>
      <c r="C52" s="16"/>
      <c r="D52" s="16"/>
      <c r="E52" s="16"/>
      <c r="F52" s="16"/>
      <c r="G52" s="7"/>
      <c r="H52" s="7"/>
      <c r="I52" s="1"/>
    </row>
    <row r="53" spans="1:9" ht="20.25" customHeight="1">
      <c r="A53" s="2" t="s">
        <v>188</v>
      </c>
      <c r="B53" s="16"/>
      <c r="C53" s="16"/>
      <c r="D53" s="16"/>
      <c r="E53" s="16"/>
      <c r="F53" s="16"/>
      <c r="G53" s="7"/>
      <c r="H53" s="7"/>
      <c r="I53" s="1"/>
    </row>
    <row r="54" spans="1:9" ht="20.25" customHeight="1">
      <c r="A54" s="1" t="s">
        <v>11</v>
      </c>
      <c r="B54" s="7">
        <v>0.4</v>
      </c>
      <c r="C54" s="10">
        <f>B54*0/100</f>
        <v>0</v>
      </c>
      <c r="D54" s="10">
        <f>B54*0/100</f>
        <v>0</v>
      </c>
      <c r="E54" s="7">
        <f>B54*0/100</f>
        <v>0</v>
      </c>
      <c r="F54" s="10">
        <f>B54*0/100</f>
        <v>0</v>
      </c>
      <c r="G54" s="5"/>
      <c r="H54" s="5"/>
      <c r="I54" s="1"/>
    </row>
    <row r="55" spans="1:9" ht="20.25" customHeight="1">
      <c r="A55" s="1" t="s">
        <v>9</v>
      </c>
      <c r="B55" s="8">
        <v>5</v>
      </c>
      <c r="C55" s="10">
        <f>B55*0/100</f>
        <v>0</v>
      </c>
      <c r="D55" s="10">
        <f>B55*0/100</f>
        <v>0</v>
      </c>
      <c r="E55" s="7">
        <f>B55*99.8/100</f>
        <v>4.99</v>
      </c>
      <c r="F55" s="10">
        <f>B55*379/100</f>
        <v>18.95</v>
      </c>
      <c r="G55" s="5"/>
      <c r="H55" s="5"/>
      <c r="I55" s="1"/>
    </row>
    <row r="56" spans="1:9" ht="20.25" customHeight="1">
      <c r="A56" s="2" t="s">
        <v>14</v>
      </c>
      <c r="B56" s="5"/>
      <c r="C56" s="5">
        <v>0</v>
      </c>
      <c r="D56" s="5">
        <v>0</v>
      </c>
      <c r="E56" s="5">
        <f>E55</f>
        <v>4.99</v>
      </c>
      <c r="F56" s="5">
        <f>F55</f>
        <v>18.95</v>
      </c>
      <c r="G56" s="5">
        <v>150</v>
      </c>
      <c r="H56" s="5"/>
      <c r="I56" s="1" t="s">
        <v>256</v>
      </c>
    </row>
    <row r="57" spans="1:9" ht="17.25" customHeight="1">
      <c r="A57" s="2" t="s">
        <v>59</v>
      </c>
      <c r="B57" s="7"/>
      <c r="C57" s="10"/>
      <c r="D57" s="10"/>
      <c r="E57" s="10"/>
      <c r="F57" s="7"/>
      <c r="G57" s="7"/>
      <c r="H57" s="7"/>
      <c r="I57" s="1"/>
    </row>
    <row r="58" spans="1:9" ht="20.25" customHeight="1">
      <c r="A58" s="1" t="s">
        <v>60</v>
      </c>
      <c r="B58" s="8">
        <v>125</v>
      </c>
      <c r="C58" s="10">
        <f>B58*16.7/100</f>
        <v>20.875</v>
      </c>
      <c r="D58" s="10">
        <f>B58*9/100</f>
        <v>11.25</v>
      </c>
      <c r="E58" s="10">
        <f>B58*1.9/100</f>
        <v>2.375</v>
      </c>
      <c r="F58" s="7">
        <f>B58*88/100</f>
        <v>110</v>
      </c>
      <c r="G58" s="7"/>
      <c r="H58" s="7"/>
      <c r="I58" s="1"/>
    </row>
    <row r="59" spans="1:9" ht="14.25" customHeight="1">
      <c r="A59" s="1" t="s">
        <v>61</v>
      </c>
      <c r="B59" s="8">
        <v>6</v>
      </c>
      <c r="C59" s="10">
        <f>B59*10.3/100</f>
        <v>0.61799999999999999</v>
      </c>
      <c r="D59" s="10">
        <f>B59*1/100</f>
        <v>0.06</v>
      </c>
      <c r="E59" s="10">
        <f>B59*67.9/100</f>
        <v>4.0740000000000007</v>
      </c>
      <c r="F59" s="7">
        <f>B59*328/100</f>
        <v>19.68</v>
      </c>
      <c r="G59" s="7"/>
      <c r="H59" s="7"/>
      <c r="I59" s="1"/>
    </row>
    <row r="60" spans="1:9" ht="14.25" customHeight="1">
      <c r="A60" s="1" t="s">
        <v>21</v>
      </c>
      <c r="B60" s="8">
        <v>8</v>
      </c>
      <c r="C60" s="10">
        <f>B60*12.7/100</f>
        <v>1.016</v>
      </c>
      <c r="D60" s="10">
        <f>B60*11.5/100</f>
        <v>0.92</v>
      </c>
      <c r="E60" s="10">
        <f>B60*0.7/100</f>
        <v>5.5999999999999994E-2</v>
      </c>
      <c r="F60" s="7">
        <f>B60*157/100</f>
        <v>12.56</v>
      </c>
      <c r="G60" s="7"/>
      <c r="H60" s="7"/>
      <c r="I60" s="1"/>
    </row>
    <row r="61" spans="1:9" ht="14.25" customHeight="1">
      <c r="A61" s="1" t="s">
        <v>16</v>
      </c>
      <c r="B61" s="8">
        <v>30</v>
      </c>
      <c r="C61" s="10">
        <f>B61*1.3/100</f>
        <v>0.39</v>
      </c>
      <c r="D61" s="10">
        <f>B61*0.1/100</f>
        <v>0.03</v>
      </c>
      <c r="E61" s="10">
        <f>B61*8.4/100</f>
        <v>2.52</v>
      </c>
      <c r="F61" s="7">
        <f>B61*34/100</f>
        <v>10.199999999999999</v>
      </c>
      <c r="G61" s="7"/>
      <c r="H61" s="7"/>
      <c r="I61" s="1"/>
    </row>
    <row r="62" spans="1:9" ht="16.5" customHeight="1">
      <c r="A62" s="1" t="s">
        <v>7</v>
      </c>
      <c r="B62" s="8">
        <v>20</v>
      </c>
      <c r="C62" s="10">
        <f>B62*2.8/100</f>
        <v>0.56000000000000005</v>
      </c>
      <c r="D62" s="10">
        <f>B62*3.5/100</f>
        <v>0.7</v>
      </c>
      <c r="E62" s="10">
        <f>B62*4.7/100</f>
        <v>0.94</v>
      </c>
      <c r="F62" s="7">
        <f>B62*61/100</f>
        <v>12.2</v>
      </c>
      <c r="G62" s="7"/>
      <c r="H62" s="7"/>
      <c r="I62" s="1"/>
    </row>
    <row r="63" spans="1:9" ht="14.25" customHeight="1">
      <c r="A63" s="1" t="s">
        <v>8</v>
      </c>
      <c r="B63" s="8">
        <v>2</v>
      </c>
      <c r="C63" s="10">
        <f>B63*0.7/100</f>
        <v>1.3999999999999999E-2</v>
      </c>
      <c r="D63" s="10">
        <f>B63*72.5/100</f>
        <v>1.45</v>
      </c>
      <c r="E63" s="10">
        <f>B63*1/100</f>
        <v>0.02</v>
      </c>
      <c r="F63" s="7">
        <f>B63*709/100</f>
        <v>14.18</v>
      </c>
      <c r="G63" s="7"/>
      <c r="H63" s="7"/>
      <c r="I63" s="1"/>
    </row>
    <row r="64" spans="1:9" ht="15.75" customHeight="1">
      <c r="A64" s="1" t="s">
        <v>57</v>
      </c>
      <c r="B64" s="8">
        <v>3</v>
      </c>
      <c r="C64" s="10">
        <f t="shared" ref="C64" si="2">B64*0/100</f>
        <v>0</v>
      </c>
      <c r="D64" s="10">
        <f>B64*99.9/100</f>
        <v>2.9970000000000003</v>
      </c>
      <c r="E64" s="10">
        <f t="shared" ref="E64" si="3">B64*0/100</f>
        <v>0</v>
      </c>
      <c r="F64" s="7">
        <f>B64*899/100</f>
        <v>26.97</v>
      </c>
      <c r="G64" s="7"/>
      <c r="H64" s="7"/>
      <c r="I64" s="1"/>
    </row>
    <row r="65" spans="1:9" ht="14.25" customHeight="1">
      <c r="A65" s="1" t="s">
        <v>62</v>
      </c>
      <c r="B65" s="8">
        <v>20</v>
      </c>
      <c r="C65" s="10">
        <f>B65*7.2/100</f>
        <v>1.44</v>
      </c>
      <c r="D65" s="10">
        <f>B65*8.5/100</f>
        <v>1.7</v>
      </c>
      <c r="E65" s="10">
        <f>B65*56/100</f>
        <v>11.2</v>
      </c>
      <c r="F65" s="7">
        <f>B65*320/100</f>
        <v>64</v>
      </c>
      <c r="G65" s="5"/>
      <c r="H65" s="5"/>
      <c r="I65" s="1"/>
    </row>
    <row r="66" spans="1:9" ht="15" customHeight="1">
      <c r="A66" s="3" t="s">
        <v>9</v>
      </c>
      <c r="B66" s="11">
        <v>8</v>
      </c>
      <c r="C66" s="10">
        <f t="shared" ref="C66" si="4">B66*7.2/100</f>
        <v>0.57600000000000007</v>
      </c>
      <c r="D66" s="10">
        <f t="shared" ref="D66" si="5">B66*8.5/100</f>
        <v>0.68</v>
      </c>
      <c r="E66" s="10">
        <f>B66*99.8/100</f>
        <v>7.984</v>
      </c>
      <c r="F66" s="10">
        <f>B66*379/100</f>
        <v>30.32</v>
      </c>
      <c r="G66" s="5" t="s">
        <v>351</v>
      </c>
      <c r="H66" s="5"/>
      <c r="I66" s="1"/>
    </row>
    <row r="67" spans="1:9" ht="15" customHeight="1">
      <c r="A67" s="3" t="s">
        <v>14</v>
      </c>
      <c r="B67" s="11"/>
      <c r="C67" s="5">
        <f>C57+C58+C59+C60+C61+C62+C63+C64+C65</f>
        <v>24.913</v>
      </c>
      <c r="D67" s="5">
        <v>18.887</v>
      </c>
      <c r="E67" s="5">
        <f>E57+E58+E59+E60+E61+E62+E63+E64+E65</f>
        <v>21.184999999999999</v>
      </c>
      <c r="F67" s="5">
        <f>F57+F58+F59+F60+F61+F62+F63+F64+F65</f>
        <v>269.78999999999996</v>
      </c>
      <c r="G67" s="5">
        <v>330</v>
      </c>
      <c r="H67" s="5"/>
      <c r="I67" s="1" t="s">
        <v>216</v>
      </c>
    </row>
    <row r="68" spans="1:9" ht="13.5" customHeight="1">
      <c r="A68" s="2" t="s">
        <v>282</v>
      </c>
      <c r="B68" s="5"/>
      <c r="C68" s="5">
        <v>23.242999999999999</v>
      </c>
      <c r="D68" s="5">
        <f>D58+D59+D60+D61+D62+D63+D64+D65+D66</f>
        <v>19.786999999999999</v>
      </c>
      <c r="E68" s="5">
        <v>25.984999999999999</v>
      </c>
      <c r="F68" s="5">
        <v>280.94</v>
      </c>
      <c r="G68" s="5"/>
      <c r="H68" s="5"/>
      <c r="I68" s="1"/>
    </row>
    <row r="69" spans="1:9" ht="19.5" customHeight="1">
      <c r="A69" s="2" t="s">
        <v>280</v>
      </c>
      <c r="B69" s="5"/>
      <c r="C69" s="5">
        <f>C15+C16+C50+C68</f>
        <v>54.590999999999994</v>
      </c>
      <c r="D69" s="5">
        <f>D15+D16+D50+D68</f>
        <v>55.342999999999996</v>
      </c>
      <c r="E69" s="5">
        <f>E15+E16+E50+E68</f>
        <v>140.61200000000002</v>
      </c>
      <c r="F69" s="5">
        <f>F15+F16+F50+F68</f>
        <v>1310.02</v>
      </c>
      <c r="G69" s="7"/>
      <c r="H69" s="7"/>
      <c r="I69" s="1"/>
    </row>
    <row r="70" spans="1:9" ht="23.25" customHeight="1">
      <c r="A70" s="2" t="s">
        <v>292</v>
      </c>
      <c r="B70" s="7"/>
      <c r="C70" s="10"/>
      <c r="D70" s="10"/>
      <c r="E70" s="10"/>
      <c r="F70" s="10"/>
      <c r="G70" s="7"/>
      <c r="H70" s="7"/>
      <c r="I70" s="1"/>
    </row>
  </sheetData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7"/>
  <sheetViews>
    <sheetView topLeftCell="A31" workbookViewId="0">
      <selection activeCell="A3" sqref="A3"/>
    </sheetView>
  </sheetViews>
  <sheetFormatPr defaultRowHeight="15"/>
  <cols>
    <col min="1" max="1" width="47.7109375" customWidth="1"/>
    <col min="2" max="2" width="7" customWidth="1"/>
    <col min="4" max="5" width="7.85546875" customWidth="1"/>
    <col min="6" max="8" width="7.7109375" customWidth="1"/>
    <col min="9" max="9" width="13.85546875" customWidth="1"/>
  </cols>
  <sheetData>
    <row r="1" spans="1:9" ht="24.75" customHeight="1">
      <c r="A1" s="3" t="s">
        <v>36</v>
      </c>
      <c r="B1" s="10"/>
      <c r="C1" s="10"/>
      <c r="D1" s="10"/>
      <c r="E1" s="10"/>
      <c r="F1" s="10"/>
      <c r="G1" s="10"/>
      <c r="H1" s="10"/>
      <c r="I1" s="2" t="s">
        <v>197</v>
      </c>
    </row>
    <row r="2" spans="1:9">
      <c r="A2" s="25" t="s">
        <v>349</v>
      </c>
      <c r="B2" s="10"/>
      <c r="C2" s="10"/>
      <c r="D2" s="10"/>
      <c r="E2" s="10"/>
      <c r="F2" s="10"/>
      <c r="G2" s="10"/>
      <c r="H2" s="10"/>
      <c r="I2" s="3"/>
    </row>
    <row r="3" spans="1:9">
      <c r="A3" s="3" t="s">
        <v>350</v>
      </c>
      <c r="B3" s="11">
        <v>20</v>
      </c>
      <c r="C3" s="10">
        <f>B3*11.5/100</f>
        <v>2.2999999999999998</v>
      </c>
      <c r="D3" s="10">
        <f>B3*3.3/100</f>
        <v>0.66</v>
      </c>
      <c r="E3" s="10">
        <f>B3*66.5/100</f>
        <v>13.3</v>
      </c>
      <c r="F3" s="10">
        <f>B3*348/100</f>
        <v>69.599999999999994</v>
      </c>
      <c r="G3" s="10"/>
      <c r="H3" s="10"/>
      <c r="I3" s="3"/>
    </row>
    <row r="4" spans="1:9">
      <c r="A4" s="3" t="s">
        <v>7</v>
      </c>
      <c r="B4" s="10">
        <v>130</v>
      </c>
      <c r="C4" s="10">
        <f>B4*2.8/100</f>
        <v>3.64</v>
      </c>
      <c r="D4" s="10">
        <f>B4*3.5/100</f>
        <v>4.55</v>
      </c>
      <c r="E4" s="10">
        <f t="shared" ref="E4:E6" si="0">B4*66.5/100</f>
        <v>86.45</v>
      </c>
      <c r="F4" s="10">
        <f>B4*61/100</f>
        <v>79.3</v>
      </c>
      <c r="G4" s="10"/>
      <c r="H4" s="10"/>
      <c r="I4" s="3"/>
    </row>
    <row r="5" spans="1:9">
      <c r="A5" s="3" t="s">
        <v>9</v>
      </c>
      <c r="B5" s="11">
        <v>3</v>
      </c>
      <c r="C5" s="10">
        <f>B5*0/100</f>
        <v>0</v>
      </c>
      <c r="D5" s="10">
        <f>B5*0/100</f>
        <v>0</v>
      </c>
      <c r="E5" s="10">
        <f t="shared" si="0"/>
        <v>1.9950000000000001</v>
      </c>
      <c r="F5" s="10">
        <f t="shared" ref="F5:F10" si="1">B5*379/100</f>
        <v>11.37</v>
      </c>
      <c r="G5" s="10"/>
      <c r="H5" s="10"/>
      <c r="I5" s="3"/>
    </row>
    <row r="6" spans="1:9">
      <c r="A6" s="3" t="s">
        <v>8</v>
      </c>
      <c r="B6" s="11">
        <v>4</v>
      </c>
      <c r="C6" s="10">
        <f>B6*0.7/100</f>
        <v>2.7999999999999997E-2</v>
      </c>
      <c r="D6" s="10">
        <f>B6*72.5/100</f>
        <v>2.9</v>
      </c>
      <c r="E6" s="10">
        <f t="shared" si="0"/>
        <v>2.66</v>
      </c>
      <c r="F6" s="10">
        <f>B6*709/100</f>
        <v>28.36</v>
      </c>
      <c r="G6" s="10"/>
      <c r="H6" s="10"/>
      <c r="I6" s="3"/>
    </row>
    <row r="7" spans="1:9">
      <c r="A7" s="2" t="s">
        <v>14</v>
      </c>
      <c r="B7" s="5"/>
      <c r="C7" s="5">
        <f>C3+C4+C5+C6</f>
        <v>5.9679999999999991</v>
      </c>
      <c r="D7" s="5">
        <f>D3+D4+D5+D6</f>
        <v>8.11</v>
      </c>
      <c r="E7" s="5">
        <f>E3+E4+E5+E6</f>
        <v>104.405</v>
      </c>
      <c r="F7" s="5">
        <f>F3+F4+F5+F6</f>
        <v>188.63</v>
      </c>
      <c r="G7" s="5">
        <v>150</v>
      </c>
      <c r="H7" s="5"/>
      <c r="I7" s="3" t="s">
        <v>227</v>
      </c>
    </row>
    <row r="8" spans="1:9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>
      <c r="A9" s="3" t="s">
        <v>83</v>
      </c>
      <c r="B9" s="11">
        <v>0.6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>
      <c r="A10" s="3" t="s">
        <v>9</v>
      </c>
      <c r="B10" s="11">
        <v>6</v>
      </c>
      <c r="C10" s="10">
        <f>B10*0/100</f>
        <v>0</v>
      </c>
      <c r="D10" s="10">
        <f>B10*0/100</f>
        <v>0</v>
      </c>
      <c r="E10" s="10">
        <f>B10*99.8/100</f>
        <v>5.9879999999999995</v>
      </c>
      <c r="F10" s="10">
        <f t="shared" si="1"/>
        <v>22.74</v>
      </c>
      <c r="G10" s="10"/>
      <c r="H10" s="10"/>
      <c r="I10" s="3"/>
    </row>
    <row r="11" spans="1:9">
      <c r="A11" s="3" t="s">
        <v>84</v>
      </c>
      <c r="B11" s="11">
        <v>8</v>
      </c>
      <c r="C11" s="10">
        <f>B11*0.9/100</f>
        <v>7.2000000000000008E-2</v>
      </c>
      <c r="D11" s="10">
        <f>B11*0/100</f>
        <v>0</v>
      </c>
      <c r="E11" s="10">
        <f>B11*3/100</f>
        <v>0.24</v>
      </c>
      <c r="F11" s="10">
        <f>B11*33/100</f>
        <v>2.64</v>
      </c>
      <c r="G11" s="10"/>
      <c r="H11" s="10"/>
      <c r="I11" s="3"/>
    </row>
    <row r="12" spans="1:9">
      <c r="A12" s="2" t="s">
        <v>14</v>
      </c>
      <c r="B12" s="5"/>
      <c r="C12" s="5">
        <f>C9+C10+C11</f>
        <v>7.2000000000000008E-2</v>
      </c>
      <c r="D12" s="5">
        <f>D9+D10+D11</f>
        <v>0</v>
      </c>
      <c r="E12" s="5">
        <f>E10+E11</f>
        <v>6.2279999999999998</v>
      </c>
      <c r="F12" s="5">
        <f>F10+F11</f>
        <v>25.38</v>
      </c>
      <c r="G12" s="5">
        <v>150</v>
      </c>
      <c r="H12" s="5"/>
      <c r="I12" s="3" t="s">
        <v>228</v>
      </c>
    </row>
    <row r="13" spans="1:9">
      <c r="A13" s="3" t="s">
        <v>12</v>
      </c>
      <c r="B13" s="11">
        <v>50</v>
      </c>
      <c r="C13" s="10">
        <f>B13*7.7/100</f>
        <v>3.85</v>
      </c>
      <c r="D13" s="10">
        <f>B13*3.5/100</f>
        <v>1.75</v>
      </c>
      <c r="E13" s="10">
        <f>B13*49.8/100</f>
        <v>24.9</v>
      </c>
      <c r="F13" s="10">
        <f>B13*262/100</f>
        <v>131</v>
      </c>
      <c r="G13" s="5">
        <v>50</v>
      </c>
      <c r="H13" s="5"/>
      <c r="I13" s="3"/>
    </row>
    <row r="14" spans="1:9">
      <c r="A14" s="3" t="s">
        <v>8</v>
      </c>
      <c r="B14" s="11">
        <v>5</v>
      </c>
      <c r="C14" s="10">
        <f>B14*7/100</f>
        <v>0.35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3"/>
    </row>
    <row r="15" spans="1:9">
      <c r="A15" s="2" t="s">
        <v>13</v>
      </c>
      <c r="B15" s="9">
        <v>11</v>
      </c>
      <c r="C15" s="5">
        <f>B15*23/100</f>
        <v>2.5299999999999998</v>
      </c>
      <c r="D15" s="5">
        <f>B15*29/100</f>
        <v>3.19</v>
      </c>
      <c r="E15" s="5">
        <f>B15*0/100</f>
        <v>0</v>
      </c>
      <c r="F15" s="5">
        <f>B15*360/100</f>
        <v>39.6</v>
      </c>
      <c r="G15" s="5">
        <v>11</v>
      </c>
      <c r="H15" s="5"/>
      <c r="I15" s="3" t="s">
        <v>200</v>
      </c>
    </row>
    <row r="16" spans="1:9" ht="21" customHeight="1">
      <c r="A16" s="2" t="s">
        <v>14</v>
      </c>
      <c r="B16" s="5"/>
      <c r="C16" s="5">
        <f>C13+C14+C15</f>
        <v>6.73</v>
      </c>
      <c r="D16" s="5">
        <f>D13+D14+D15</f>
        <v>8.5649999999999995</v>
      </c>
      <c r="E16" s="5">
        <f>E13+E14+E15</f>
        <v>24.95</v>
      </c>
      <c r="F16" s="5">
        <f>F13+F14+F15</f>
        <v>206.04999999999998</v>
      </c>
      <c r="G16" s="5">
        <v>366</v>
      </c>
      <c r="H16" s="5"/>
      <c r="I16" s="3"/>
    </row>
    <row r="17" spans="1:9" ht="29.25" customHeight="1">
      <c r="A17" s="2" t="s">
        <v>75</v>
      </c>
      <c r="B17" s="5"/>
      <c r="C17" s="5">
        <f>C7+C12+C16</f>
        <v>12.77</v>
      </c>
      <c r="D17" s="5">
        <f>D7+D16</f>
        <v>16.674999999999997</v>
      </c>
      <c r="E17" s="5">
        <f>E7+E12+E16</f>
        <v>135.583</v>
      </c>
      <c r="F17" s="5">
        <f>F7+F12+F16</f>
        <v>420.05999999999995</v>
      </c>
      <c r="G17" s="10"/>
      <c r="H17" s="10"/>
      <c r="I17" s="3"/>
    </row>
    <row r="18" spans="1:9" ht="24" customHeight="1">
      <c r="A18" s="2" t="s">
        <v>192</v>
      </c>
      <c r="B18" s="5">
        <v>120</v>
      </c>
      <c r="C18" s="5">
        <v>6</v>
      </c>
      <c r="D18" s="5">
        <v>1.8</v>
      </c>
      <c r="E18" s="5">
        <v>10.199999999999999</v>
      </c>
      <c r="F18" s="5">
        <v>84</v>
      </c>
      <c r="G18" s="5">
        <v>120</v>
      </c>
      <c r="H18" s="5"/>
      <c r="I18" s="3"/>
    </row>
    <row r="19" spans="1:9" ht="25.5" customHeight="1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>
      <c r="A21" s="3" t="s">
        <v>41</v>
      </c>
      <c r="B21" s="11">
        <v>30</v>
      </c>
      <c r="C21" s="10">
        <f>B21*18.6/100</f>
        <v>5.58</v>
      </c>
      <c r="D21" s="10">
        <f>B21*16/100</f>
        <v>4.8</v>
      </c>
      <c r="E21" s="10">
        <f>B21*0/100</f>
        <v>0</v>
      </c>
      <c r="F21" s="10">
        <f>B21*218/100</f>
        <v>65.400000000000006</v>
      </c>
      <c r="G21" s="10"/>
      <c r="H21" s="10"/>
      <c r="I21" s="3"/>
    </row>
    <row r="22" spans="1:9">
      <c r="A22" s="3" t="s">
        <v>15</v>
      </c>
      <c r="B22" s="11">
        <v>40</v>
      </c>
      <c r="C22" s="10">
        <f>B22*2/100</f>
        <v>0.8</v>
      </c>
      <c r="D22" s="10">
        <f>B22*0.4/100</f>
        <v>0.16</v>
      </c>
      <c r="E22" s="10">
        <f>B22*17.3/100</f>
        <v>6.92</v>
      </c>
      <c r="F22" s="10">
        <f>B22*80/100</f>
        <v>32</v>
      </c>
      <c r="G22" s="10"/>
      <c r="H22" s="10"/>
      <c r="I22" s="3"/>
    </row>
    <row r="23" spans="1:9">
      <c r="A23" s="3" t="s">
        <v>26</v>
      </c>
      <c r="B23" s="11">
        <v>40</v>
      </c>
      <c r="C23" s="10">
        <f>B23*1.8/100</f>
        <v>0.72</v>
      </c>
      <c r="D23" s="10">
        <f>B23*0.1/100</f>
        <v>0.04</v>
      </c>
      <c r="E23" s="10">
        <f>B23*10/100</f>
        <v>4</v>
      </c>
      <c r="F23" s="10">
        <f>B23*42/100</f>
        <v>16.8</v>
      </c>
      <c r="G23" s="10"/>
      <c r="H23" s="10"/>
      <c r="I23" s="3"/>
    </row>
    <row r="24" spans="1:9">
      <c r="A24" s="3" t="s">
        <v>20</v>
      </c>
      <c r="B24" s="11">
        <v>11</v>
      </c>
      <c r="C24" s="10">
        <f>B24*1.4/100</f>
        <v>0.154</v>
      </c>
      <c r="D24" s="10">
        <f>B24*0/100</f>
        <v>0</v>
      </c>
      <c r="E24" s="10">
        <f>B24*9.1/100</f>
        <v>1.0009999999999999</v>
      </c>
      <c r="F24" s="10">
        <f>B24*41/100</f>
        <v>4.51</v>
      </c>
      <c r="G24" s="10"/>
      <c r="H24" s="10"/>
      <c r="I24" s="3"/>
    </row>
    <row r="25" spans="1:9">
      <c r="A25" s="3" t="s">
        <v>16</v>
      </c>
      <c r="B25" s="11">
        <v>11</v>
      </c>
      <c r="C25" s="10">
        <f>B25*1.3/100</f>
        <v>0.14300000000000002</v>
      </c>
      <c r="D25" s="10">
        <f>B25*0.1/100</f>
        <v>1.1000000000000001E-2</v>
      </c>
      <c r="E25" s="10">
        <f>B25*8.4/100</f>
        <v>0.92400000000000004</v>
      </c>
      <c r="F25" s="10">
        <f>B25*34/100</f>
        <v>3.74</v>
      </c>
      <c r="G25" s="10"/>
      <c r="H25" s="10"/>
      <c r="I25" s="3"/>
    </row>
    <row r="26" spans="1:9">
      <c r="A26" s="3" t="s">
        <v>28</v>
      </c>
      <c r="B26" s="11">
        <v>2</v>
      </c>
      <c r="C26" s="10">
        <f>B26*4.8/100</f>
        <v>9.6000000000000002E-2</v>
      </c>
      <c r="D26" s="10">
        <f>B26*0/100</f>
        <v>0</v>
      </c>
      <c r="E26" s="10">
        <f>B26*19/100</f>
        <v>0.38</v>
      </c>
      <c r="F26" s="10">
        <f>B26*99/100</f>
        <v>1.98</v>
      </c>
      <c r="G26" s="10"/>
      <c r="H26" s="10"/>
      <c r="I26" s="3"/>
    </row>
    <row r="27" spans="1:9">
      <c r="A27" s="3" t="s">
        <v>8</v>
      </c>
      <c r="B27" s="11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10"/>
      <c r="H27" s="10"/>
      <c r="I27" s="3"/>
    </row>
    <row r="28" spans="1:9">
      <c r="A28" s="3" t="s">
        <v>44</v>
      </c>
      <c r="B28" s="11">
        <v>12</v>
      </c>
      <c r="C28" s="10">
        <f>B28*2.8/100</f>
        <v>0.33599999999999997</v>
      </c>
      <c r="D28" s="10">
        <f>B28*15/100</f>
        <v>1.8</v>
      </c>
      <c r="E28" s="10">
        <f>B28*3.2/100</f>
        <v>0.38400000000000006</v>
      </c>
      <c r="F28" s="10">
        <f>B28*206/100</f>
        <v>24.72</v>
      </c>
      <c r="G28" s="10"/>
      <c r="H28" s="10"/>
      <c r="I28" s="3"/>
    </row>
    <row r="29" spans="1:9" ht="21" customHeight="1">
      <c r="A29" s="2" t="s">
        <v>14</v>
      </c>
      <c r="B29" s="5"/>
      <c r="C29" s="5">
        <f>C21+C22+C23+C24+C25+C26+C27+C28</f>
        <v>7.85</v>
      </c>
      <c r="D29" s="5">
        <f>D21+D22+D23+D24+D25+D26+D27+D28</f>
        <v>8.9860000000000007</v>
      </c>
      <c r="E29" s="5">
        <f>E21+E22+E23+E24+E25+E26+E27+E28</f>
        <v>13.638999999999999</v>
      </c>
      <c r="F29" s="5">
        <f>F21+F22+F23+F24+F25+F26+F27</f>
        <v>145.70000000000002</v>
      </c>
      <c r="G29" s="5" t="s">
        <v>339</v>
      </c>
      <c r="H29" s="5"/>
      <c r="I29" s="3" t="s">
        <v>229</v>
      </c>
    </row>
    <row r="30" spans="1:9">
      <c r="A30" s="2" t="s">
        <v>193</v>
      </c>
      <c r="B30" s="10"/>
      <c r="C30" s="10"/>
      <c r="D30" s="10"/>
      <c r="E30" s="10"/>
      <c r="F30" s="10"/>
      <c r="G30" s="10"/>
      <c r="H30" s="10"/>
      <c r="I30" s="3"/>
    </row>
    <row r="31" spans="1:9">
      <c r="A31" s="3" t="s">
        <v>41</v>
      </c>
      <c r="B31" s="11">
        <v>50</v>
      </c>
      <c r="C31" s="10">
        <f>B31*18.6/100</f>
        <v>9.3000000000000007</v>
      </c>
      <c r="D31" s="10">
        <f>B31*16/100</f>
        <v>8</v>
      </c>
      <c r="E31" s="10">
        <f>B31*0/100</f>
        <v>0</v>
      </c>
      <c r="F31" s="10">
        <f>B31*218/100</f>
        <v>109</v>
      </c>
      <c r="G31" s="10"/>
      <c r="H31" s="10"/>
      <c r="I31" s="3"/>
    </row>
    <row r="32" spans="1:9">
      <c r="A32" s="3" t="s">
        <v>66</v>
      </c>
      <c r="B32" s="11">
        <v>25</v>
      </c>
      <c r="C32" s="10">
        <f>B32*7/100</f>
        <v>1.75</v>
      </c>
      <c r="D32" s="10">
        <f>B32*1/100</f>
        <v>0.25</v>
      </c>
      <c r="E32" s="10">
        <f>B32*71.4/100</f>
        <v>17.850000000000001</v>
      </c>
      <c r="F32" s="10">
        <f>B32*330/100</f>
        <v>82.5</v>
      </c>
      <c r="G32" s="10"/>
      <c r="H32" s="10"/>
      <c r="I32" s="3"/>
    </row>
    <row r="33" spans="1:9">
      <c r="A33" s="3" t="s">
        <v>20</v>
      </c>
      <c r="B33" s="11">
        <v>11</v>
      </c>
      <c r="C33" s="10">
        <f>B33*1.4/100</f>
        <v>0.154</v>
      </c>
      <c r="D33" s="10">
        <f>B33*0/100</f>
        <v>0</v>
      </c>
      <c r="E33" s="10">
        <f>B33*9.1/100</f>
        <v>1.0009999999999999</v>
      </c>
      <c r="F33" s="10">
        <f>B33*41/100</f>
        <v>4.51</v>
      </c>
      <c r="G33" s="10"/>
      <c r="H33" s="10"/>
      <c r="I33" s="3"/>
    </row>
    <row r="34" spans="1:9">
      <c r="A34" s="3" t="s">
        <v>16</v>
      </c>
      <c r="B34" s="11">
        <v>11</v>
      </c>
      <c r="C34" s="10">
        <f>B34*1.3/100</f>
        <v>0.14300000000000002</v>
      </c>
      <c r="D34" s="10">
        <f>B34*0/100</f>
        <v>0</v>
      </c>
      <c r="E34" s="10">
        <f>B34*8.4/100</f>
        <v>0.92400000000000004</v>
      </c>
      <c r="F34" s="10">
        <f>B34*34/100</f>
        <v>3.74</v>
      </c>
      <c r="G34" s="10"/>
      <c r="H34" s="10"/>
      <c r="I34" s="3"/>
    </row>
    <row r="35" spans="1:9">
      <c r="A35" s="3" t="s">
        <v>28</v>
      </c>
      <c r="B35" s="11">
        <v>4</v>
      </c>
      <c r="C35" s="10">
        <f>B35*4.8/100</f>
        <v>0.192</v>
      </c>
      <c r="D35" s="10">
        <f>B35*0/100</f>
        <v>0</v>
      </c>
      <c r="E35" s="10">
        <f>B35*19/100</f>
        <v>0.76</v>
      </c>
      <c r="F35" s="10">
        <f>B35*99/100</f>
        <v>3.96</v>
      </c>
      <c r="G35" s="10"/>
      <c r="H35" s="10"/>
      <c r="I35" s="3"/>
    </row>
    <row r="36" spans="1:9">
      <c r="A36" s="3" t="s">
        <v>57</v>
      </c>
      <c r="B36" s="11">
        <v>2</v>
      </c>
      <c r="C36" s="10">
        <f>B36*0/100</f>
        <v>0</v>
      </c>
      <c r="D36" s="10">
        <f>B36/99.9/100</f>
        <v>2.0020020020020021E-4</v>
      </c>
      <c r="E36" s="10">
        <f>B36*0/100</f>
        <v>0</v>
      </c>
      <c r="F36" s="10">
        <f>B36*899/100</f>
        <v>17.98</v>
      </c>
      <c r="G36" s="10"/>
      <c r="H36" s="10"/>
      <c r="I36" s="3" t="s">
        <v>230</v>
      </c>
    </row>
    <row r="37" spans="1:9">
      <c r="A37" s="2" t="s">
        <v>14</v>
      </c>
      <c r="B37" s="5"/>
      <c r="C37" s="5">
        <f>C31+C32+C33+C34+C35+C36</f>
        <v>11.539000000000001</v>
      </c>
      <c r="D37" s="21">
        <f>D31+D32+D33+D34+D35+D36</f>
        <v>8.2502002002002008</v>
      </c>
      <c r="E37" s="5">
        <f>E31+E32+E33+E34+E35+E36</f>
        <v>20.535000000000004</v>
      </c>
      <c r="F37" s="5">
        <f>F31+F32+F33+F34+F35+F36</f>
        <v>221.69</v>
      </c>
      <c r="G37" s="5">
        <v>140</v>
      </c>
      <c r="H37" s="5"/>
      <c r="I37" s="3"/>
    </row>
    <row r="38" spans="1:9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>
      <c r="A39" s="3" t="s">
        <v>88</v>
      </c>
      <c r="B39" s="10">
        <v>6</v>
      </c>
      <c r="C39" s="10">
        <f>B39*3.4/100</f>
        <v>0.20399999999999999</v>
      </c>
      <c r="D39" s="10">
        <f>B39*0/100</f>
        <v>0</v>
      </c>
      <c r="E39" s="10">
        <f>B39*21.5/100</f>
        <v>1.29</v>
      </c>
      <c r="F39" s="10">
        <f>B39*110/100</f>
        <v>6.6</v>
      </c>
      <c r="G39" s="5"/>
      <c r="H39" s="5"/>
      <c r="I39" s="3"/>
    </row>
    <row r="40" spans="1:9">
      <c r="A40" s="3" t="s">
        <v>9</v>
      </c>
      <c r="B40" s="10">
        <v>6</v>
      </c>
      <c r="C40" s="10">
        <f>B40*0/100</f>
        <v>0</v>
      </c>
      <c r="D40" s="10">
        <f>B40*0/100</f>
        <v>0</v>
      </c>
      <c r="E40" s="10">
        <f>B40*99.8/100</f>
        <v>5.9879999999999995</v>
      </c>
      <c r="F40" s="10">
        <f t="shared" ref="F40" si="2">B40*379/100</f>
        <v>22.74</v>
      </c>
      <c r="G40" s="5"/>
      <c r="H40" s="5"/>
      <c r="I40" s="3"/>
    </row>
    <row r="41" spans="1:9">
      <c r="A41" s="2" t="s">
        <v>14</v>
      </c>
      <c r="B41" s="5"/>
      <c r="C41" s="5">
        <f>C39+C40</f>
        <v>0.20399999999999999</v>
      </c>
      <c r="D41" s="5">
        <f t="shared" ref="D41" si="3">B41*8.5/100</f>
        <v>0</v>
      </c>
      <c r="E41" s="5">
        <f>E39+E40</f>
        <v>7.2779999999999996</v>
      </c>
      <c r="F41" s="5">
        <f>F38+F39+F40</f>
        <v>29.339999999999996</v>
      </c>
      <c r="G41" s="5">
        <v>150</v>
      </c>
      <c r="H41" s="5"/>
      <c r="I41" s="3" t="s">
        <v>231</v>
      </c>
    </row>
    <row r="42" spans="1:9">
      <c r="A42" s="3" t="s">
        <v>32</v>
      </c>
      <c r="B42" s="10">
        <v>34</v>
      </c>
      <c r="C42" s="10">
        <f>B42*6.6/100</f>
        <v>2.2439999999999998</v>
      </c>
      <c r="D42" s="10">
        <f>B42*1.2/100</f>
        <v>0.40799999999999997</v>
      </c>
      <c r="E42" s="10">
        <f>B42*34.2/100</f>
        <v>11.628000000000002</v>
      </c>
      <c r="F42" s="10">
        <f>B42*181/100</f>
        <v>61.54</v>
      </c>
      <c r="G42" s="5">
        <v>34</v>
      </c>
      <c r="H42" s="5"/>
      <c r="I42" s="3"/>
    </row>
    <row r="43" spans="1:9">
      <c r="A43" s="2" t="s">
        <v>14</v>
      </c>
      <c r="B43" s="5"/>
      <c r="C43" s="5">
        <f>C42</f>
        <v>2.2439999999999998</v>
      </c>
      <c r="D43" s="5">
        <f>D42</f>
        <v>0.40799999999999997</v>
      </c>
      <c r="E43" s="5">
        <f>E42</f>
        <v>11.628000000000002</v>
      </c>
      <c r="F43" s="5">
        <f>F42</f>
        <v>61.54</v>
      </c>
      <c r="G43" s="5"/>
      <c r="H43" s="5"/>
      <c r="I43" s="3"/>
    </row>
    <row r="44" spans="1:9">
      <c r="A44" s="2" t="s">
        <v>323</v>
      </c>
      <c r="B44" s="10"/>
      <c r="C44" s="10"/>
      <c r="D44" s="10"/>
      <c r="E44" s="10"/>
      <c r="F44" s="10"/>
      <c r="G44" s="5"/>
      <c r="H44" s="5"/>
      <c r="I44" s="3"/>
    </row>
    <row r="45" spans="1:9">
      <c r="A45" s="3" t="s">
        <v>324</v>
      </c>
      <c r="B45" s="10">
        <v>60</v>
      </c>
      <c r="C45" s="10">
        <f>B45*0.8/100</f>
        <v>0.48</v>
      </c>
      <c r="D45" s="10">
        <f>B45*0.1/100</f>
        <v>0.06</v>
      </c>
      <c r="E45" s="10">
        <f>B45*3.4/100</f>
        <v>2.04</v>
      </c>
      <c r="F45" s="10">
        <f>B45*14/100</f>
        <v>8.4</v>
      </c>
      <c r="G45" s="5">
        <v>60</v>
      </c>
      <c r="H45" s="5"/>
      <c r="I45" s="3"/>
    </row>
    <row r="46" spans="1:9" ht="20.25" customHeight="1">
      <c r="A46" s="2" t="s">
        <v>91</v>
      </c>
      <c r="B46" s="5"/>
      <c r="C46" s="5">
        <f>C45</f>
        <v>0.48</v>
      </c>
      <c r="D46" s="5">
        <f>D45</f>
        <v>0.06</v>
      </c>
      <c r="E46" s="5">
        <f>E45</f>
        <v>2.04</v>
      </c>
      <c r="F46" s="5">
        <f>F45</f>
        <v>8.4</v>
      </c>
      <c r="G46" s="5">
        <v>546</v>
      </c>
      <c r="H46" s="5"/>
      <c r="I46" s="3"/>
    </row>
    <row r="47" spans="1:9" ht="24" customHeight="1">
      <c r="A47" s="2" t="s">
        <v>76</v>
      </c>
      <c r="B47" s="10"/>
      <c r="C47" s="5">
        <f>C29+C37+C41+C43+C46</f>
        <v>22.317000000000004</v>
      </c>
      <c r="D47" s="21">
        <f>D29+D37+D43+D46</f>
        <v>17.704200200200201</v>
      </c>
      <c r="E47" s="5">
        <f>E29+E37+E41+E43+E46</f>
        <v>55.120000000000005</v>
      </c>
      <c r="F47" s="5">
        <f>F29+F37+F41+F43+F46</f>
        <v>466.66999999999996</v>
      </c>
      <c r="G47" s="10"/>
      <c r="H47" s="10"/>
      <c r="I47" s="3"/>
    </row>
    <row r="48" spans="1:9" ht="24" customHeight="1">
      <c r="A48" s="3" t="s">
        <v>196</v>
      </c>
      <c r="B48" s="16">
        <v>2.5499999999999998</v>
      </c>
      <c r="C48" s="10"/>
      <c r="D48" s="10"/>
      <c r="E48" s="10"/>
      <c r="F48" s="10"/>
      <c r="G48" s="10"/>
      <c r="H48" s="10"/>
      <c r="I48" s="3"/>
    </row>
    <row r="49" spans="1:9" ht="22.5" customHeight="1">
      <c r="A49" s="2" t="s">
        <v>276</v>
      </c>
      <c r="B49" s="16"/>
      <c r="C49" s="16"/>
      <c r="D49" s="16"/>
      <c r="E49" s="16"/>
      <c r="F49" s="16"/>
      <c r="G49" s="10"/>
      <c r="H49" s="10"/>
      <c r="I49" s="3"/>
    </row>
    <row r="50" spans="1:9">
      <c r="A50" s="2" t="s">
        <v>77</v>
      </c>
      <c r="B50" s="7"/>
      <c r="C50" s="7">
        <f t="shared" ref="C50" si="4">B50*12.6/100</f>
        <v>0</v>
      </c>
      <c r="D50" s="7">
        <f t="shared" ref="D50" si="5">B50*3.3/100</f>
        <v>0</v>
      </c>
      <c r="E50" s="7">
        <f t="shared" ref="E50" si="6">B50*1/100</f>
        <v>0</v>
      </c>
      <c r="F50" s="7">
        <f t="shared" ref="F50" si="7">B50*379/100</f>
        <v>0</v>
      </c>
      <c r="G50" s="7"/>
      <c r="H50" s="7"/>
      <c r="I50" s="1"/>
    </row>
    <row r="51" spans="1:9">
      <c r="A51" s="1" t="s">
        <v>39</v>
      </c>
      <c r="B51" s="8">
        <v>1.2</v>
      </c>
      <c r="C51" s="7">
        <f>B51*24.2/100</f>
        <v>0.29039999999999999</v>
      </c>
      <c r="D51" s="7">
        <f>B51*17.5/100</f>
        <v>0.21</v>
      </c>
      <c r="E51" s="7">
        <f>B51*27.9/100</f>
        <v>0.33479999999999999</v>
      </c>
      <c r="F51" s="7">
        <f>B51*373/100</f>
        <v>4.476</v>
      </c>
      <c r="G51" s="7"/>
      <c r="H51" s="7"/>
      <c r="I51" s="1"/>
    </row>
    <row r="52" spans="1:9">
      <c r="A52" s="1" t="s">
        <v>7</v>
      </c>
      <c r="B52" s="8">
        <v>130</v>
      </c>
      <c r="C52" s="7">
        <f>B52*2.8/100</f>
        <v>3.64</v>
      </c>
      <c r="D52" s="7">
        <f>B52*3.5/100</f>
        <v>4.55</v>
      </c>
      <c r="E52" s="7">
        <f>B52*4.7/100</f>
        <v>6.11</v>
      </c>
      <c r="F52" s="7">
        <f>B52*61/100</f>
        <v>79.3</v>
      </c>
      <c r="G52" s="7"/>
      <c r="H52" s="7"/>
      <c r="I52" s="1"/>
    </row>
    <row r="53" spans="1:9">
      <c r="A53" s="1" t="s">
        <v>9</v>
      </c>
      <c r="B53" s="8">
        <v>6</v>
      </c>
      <c r="C53" s="7">
        <f>B53*0/100</f>
        <v>0</v>
      </c>
      <c r="D53" s="7">
        <f>B53*0/100</f>
        <v>0</v>
      </c>
      <c r="E53" s="7">
        <f>B53*199.8/100</f>
        <v>11.988000000000001</v>
      </c>
      <c r="F53" s="7">
        <f>B53*379/100</f>
        <v>22.74</v>
      </c>
      <c r="G53" s="5"/>
      <c r="H53" s="5"/>
      <c r="I53" s="1"/>
    </row>
    <row r="54" spans="1:9">
      <c r="A54" s="2" t="s">
        <v>14</v>
      </c>
      <c r="B54" s="5"/>
      <c r="C54" s="5">
        <f>C50+C51+C52</f>
        <v>3.9304000000000001</v>
      </c>
      <c r="D54" s="5">
        <f>D51+D52+D53</f>
        <v>4.76</v>
      </c>
      <c r="E54" s="5">
        <f>E51+E52+E53</f>
        <v>18.4328</v>
      </c>
      <c r="F54" s="5">
        <f>F51+F52+F53</f>
        <v>106.51599999999999</v>
      </c>
      <c r="G54" s="5">
        <v>150</v>
      </c>
      <c r="H54" s="5"/>
      <c r="I54" s="1" t="s">
        <v>208</v>
      </c>
    </row>
    <row r="55" spans="1:9">
      <c r="A55" s="2" t="s">
        <v>290</v>
      </c>
      <c r="B55" s="16"/>
      <c r="C55" s="16"/>
      <c r="D55" s="16"/>
      <c r="E55" s="16"/>
      <c r="F55" s="17"/>
      <c r="G55" s="5"/>
      <c r="H55" s="5"/>
      <c r="I55" s="1"/>
    </row>
    <row r="56" spans="1:9">
      <c r="A56" s="3" t="s">
        <v>48</v>
      </c>
      <c r="B56" s="8">
        <v>33</v>
      </c>
      <c r="C56" s="7">
        <f>B56*10.3/100</f>
        <v>3.3990000000000005</v>
      </c>
      <c r="D56" s="7">
        <f>B56*1.1/100</f>
        <v>0.36300000000000004</v>
      </c>
      <c r="E56" s="7">
        <f>B56*69/100</f>
        <v>22.77</v>
      </c>
      <c r="F56" s="7">
        <f>B56*334/100</f>
        <v>110.22</v>
      </c>
      <c r="G56" s="5"/>
      <c r="H56" s="5"/>
      <c r="I56" s="1"/>
    </row>
    <row r="57" spans="1:9">
      <c r="A57" s="3" t="s">
        <v>7</v>
      </c>
      <c r="B57" s="7">
        <v>25</v>
      </c>
      <c r="C57" s="7">
        <f>B57*2.8/100</f>
        <v>0.7</v>
      </c>
      <c r="D57" s="7">
        <f>B57*3.5/100</f>
        <v>0.875</v>
      </c>
      <c r="E57" s="7">
        <f>B57*4.7/100</f>
        <v>1.175</v>
      </c>
      <c r="F57" s="7">
        <f>B57*61/100</f>
        <v>15.25</v>
      </c>
      <c r="G57" s="7"/>
      <c r="H57" s="7"/>
      <c r="I57" s="1"/>
    </row>
    <row r="58" spans="1:9">
      <c r="A58" s="3" t="s">
        <v>8</v>
      </c>
      <c r="B58" s="8">
        <v>2</v>
      </c>
      <c r="C58" s="7">
        <f>B58*0.7/100</f>
        <v>1.3999999999999999E-2</v>
      </c>
      <c r="D58" s="7">
        <f>B58*372.5/100</f>
        <v>7.45</v>
      </c>
      <c r="E58" s="7">
        <f>B58*1/100</f>
        <v>0.02</v>
      </c>
      <c r="F58" s="7">
        <f>B58*709/100</f>
        <v>14.18</v>
      </c>
      <c r="G58" s="7"/>
      <c r="H58" s="7"/>
      <c r="I58" s="1"/>
    </row>
    <row r="59" spans="1:9">
      <c r="A59" s="3" t="s">
        <v>57</v>
      </c>
      <c r="B59" s="7">
        <v>2</v>
      </c>
      <c r="C59" s="7">
        <f>B59*0/100</f>
        <v>0</v>
      </c>
      <c r="D59" s="7">
        <f>B59*99.9/100</f>
        <v>1.9980000000000002</v>
      </c>
      <c r="E59" s="7">
        <f>B59*0/100</f>
        <v>0</v>
      </c>
      <c r="F59" s="7">
        <f>B59*899/100</f>
        <v>17.98</v>
      </c>
      <c r="G59" s="7"/>
      <c r="H59" s="7"/>
      <c r="I59" s="1"/>
    </row>
    <row r="60" spans="1:9">
      <c r="A60" s="3" t="s">
        <v>9</v>
      </c>
      <c r="B60" s="8">
        <v>8</v>
      </c>
      <c r="C60" s="7">
        <f>B60*0/100</f>
        <v>0</v>
      </c>
      <c r="D60" s="7">
        <f>B60*0/100</f>
        <v>0</v>
      </c>
      <c r="E60" s="7">
        <f>B60*99.8/100</f>
        <v>7.984</v>
      </c>
      <c r="F60" s="7">
        <f>B60*379/100</f>
        <v>30.32</v>
      </c>
      <c r="G60" s="7"/>
      <c r="H60" s="7"/>
      <c r="I60" s="1"/>
    </row>
    <row r="61" spans="1:9">
      <c r="A61" s="3" t="s">
        <v>279</v>
      </c>
      <c r="B61" s="10">
        <v>1</v>
      </c>
      <c r="C61" s="10">
        <v>0</v>
      </c>
      <c r="D61" s="10">
        <v>0</v>
      </c>
      <c r="E61" s="10">
        <v>0</v>
      </c>
      <c r="F61" s="10">
        <v>0</v>
      </c>
      <c r="G61" s="5"/>
      <c r="H61" s="5"/>
      <c r="I61" s="1"/>
    </row>
    <row r="62" spans="1:9">
      <c r="A62" s="3" t="s">
        <v>21</v>
      </c>
      <c r="B62" s="8">
        <v>4</v>
      </c>
      <c r="C62" s="7">
        <f>B62*12.7/40</f>
        <v>1.27</v>
      </c>
      <c r="D62" s="7">
        <f>B62*11.5/40</f>
        <v>1.1499999999999999</v>
      </c>
      <c r="E62" s="7">
        <f>B62*0.7/40</f>
        <v>6.9999999999999993E-2</v>
      </c>
      <c r="F62" s="7">
        <f>B62*157/40</f>
        <v>15.7</v>
      </c>
      <c r="G62" s="7"/>
      <c r="H62" s="7"/>
      <c r="I62" s="1"/>
    </row>
    <row r="63" spans="1:9">
      <c r="A63" s="3" t="s">
        <v>291</v>
      </c>
      <c r="B63" s="8">
        <v>8</v>
      </c>
      <c r="C63" s="10">
        <f>B63*3.4/100</f>
        <v>0.27200000000000002</v>
      </c>
      <c r="D63" s="10">
        <f>B63*0/100</f>
        <v>0</v>
      </c>
      <c r="E63" s="10">
        <f>B63*21.5/100</f>
        <v>1.72</v>
      </c>
      <c r="F63" s="7">
        <f>B63*110/100</f>
        <v>8.8000000000000007</v>
      </c>
      <c r="G63" s="7"/>
      <c r="H63" s="7"/>
      <c r="I63" s="1"/>
    </row>
    <row r="64" spans="1:9">
      <c r="A64" s="2" t="s">
        <v>14</v>
      </c>
      <c r="B64" s="16"/>
      <c r="C64" s="16">
        <f>C56+C57+C58+C59+C60+C61+C62+C63</f>
        <v>5.6550000000000011</v>
      </c>
      <c r="D64" s="16">
        <f>D56+D57+D58+D59+D60+D61+D62+D63</f>
        <v>11.836</v>
      </c>
      <c r="E64" s="16">
        <f>E56+E57+E58+E59+E60+E61+E62+E63</f>
        <v>33.738999999999997</v>
      </c>
      <c r="F64" s="17">
        <f>F56+F57+F58+F59+F60+F61+F62+F63</f>
        <v>212.45</v>
      </c>
      <c r="G64" s="5">
        <v>55</v>
      </c>
      <c r="H64" s="5"/>
      <c r="I64" s="1" t="s">
        <v>289</v>
      </c>
    </row>
    <row r="65" spans="1:9">
      <c r="A65" s="2" t="s">
        <v>282</v>
      </c>
      <c r="B65" s="16"/>
      <c r="C65" s="16">
        <f>C54+C64</f>
        <v>9.5854000000000017</v>
      </c>
      <c r="D65" s="16">
        <f>D54+D64</f>
        <v>16.596</v>
      </c>
      <c r="E65" s="16">
        <f>E54+E64</f>
        <v>52.171799999999998</v>
      </c>
      <c r="F65" s="17">
        <f>F54+F64</f>
        <v>318.96600000000001</v>
      </c>
      <c r="G65" s="10">
        <v>205</v>
      </c>
      <c r="H65" s="10"/>
      <c r="I65" s="3"/>
    </row>
    <row r="66" spans="1:9">
      <c r="A66" s="2" t="s">
        <v>280</v>
      </c>
      <c r="B66" s="16"/>
      <c r="C66" s="16">
        <f>C17+C18+C47+C65</f>
        <v>50.672400000000003</v>
      </c>
      <c r="D66" s="23">
        <f>D17+D18+D47+D65</f>
        <v>52.775200200200203</v>
      </c>
      <c r="E66" s="16">
        <f>E17+E18+E47+E65</f>
        <v>253.07479999999998</v>
      </c>
      <c r="F66" s="17">
        <f>F17+F18+F47+F65</f>
        <v>1289.6959999999999</v>
      </c>
      <c r="G66" s="10"/>
      <c r="H66" s="10"/>
      <c r="I66" s="3"/>
    </row>
    <row r="67" spans="1:9">
      <c r="A67" s="3" t="s">
        <v>285</v>
      </c>
      <c r="B67" s="16"/>
      <c r="C67" s="16"/>
      <c r="D67" s="16"/>
      <c r="E67" s="16"/>
      <c r="F67" s="16"/>
      <c r="G67" s="10"/>
      <c r="H67" s="10"/>
      <c r="I67" s="3"/>
    </row>
  </sheetData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2"/>
  <sheetViews>
    <sheetView topLeftCell="A31" workbookViewId="0">
      <selection activeCell="M37" sqref="M37"/>
    </sheetView>
  </sheetViews>
  <sheetFormatPr defaultRowHeight="15"/>
  <cols>
    <col min="1" max="1" width="36" customWidth="1"/>
    <col min="2" max="2" width="7" customWidth="1"/>
    <col min="3" max="3" width="8.42578125" customWidth="1"/>
    <col min="4" max="4" width="8" customWidth="1"/>
    <col min="5" max="5" width="7.7109375" customWidth="1"/>
    <col min="7" max="8" width="7.42578125" customWidth="1"/>
    <col min="9" max="9" width="13.5703125" customWidth="1"/>
  </cols>
  <sheetData>
    <row r="1" spans="1:9">
      <c r="A1" s="1" t="s">
        <v>36</v>
      </c>
      <c r="B1" s="7"/>
      <c r="C1" s="10"/>
      <c r="D1" s="10"/>
      <c r="E1" s="10"/>
      <c r="F1" s="10"/>
      <c r="G1" s="7"/>
      <c r="H1" s="7" t="s">
        <v>95</v>
      </c>
      <c r="I1" s="2" t="s">
        <v>197</v>
      </c>
    </row>
    <row r="2" spans="1:9">
      <c r="A2" s="2" t="s">
        <v>295</v>
      </c>
      <c r="B2" s="7"/>
      <c r="C2" s="7"/>
      <c r="D2" s="7"/>
      <c r="E2" s="7"/>
      <c r="F2" s="7"/>
      <c r="G2" s="7"/>
      <c r="H2" s="7"/>
      <c r="I2" s="1"/>
    </row>
    <row r="3" spans="1:9">
      <c r="A3" s="1" t="s">
        <v>38</v>
      </c>
      <c r="B3" s="8">
        <v>20</v>
      </c>
      <c r="C3" s="7">
        <f>B3*11/100</f>
        <v>2.2000000000000002</v>
      </c>
      <c r="D3" s="7">
        <f>B3*6.2/100</f>
        <v>1.24</v>
      </c>
      <c r="E3" s="7">
        <f>B3*50.1/100</f>
        <v>10.02</v>
      </c>
      <c r="F3" s="7">
        <f>B3*305/100</f>
        <v>61</v>
      </c>
      <c r="G3" s="7"/>
      <c r="H3" s="7"/>
      <c r="I3" s="1"/>
    </row>
    <row r="4" spans="1:9">
      <c r="A4" s="1" t="s">
        <v>7</v>
      </c>
      <c r="B4" s="8">
        <v>130</v>
      </c>
      <c r="C4" s="7">
        <f>B4*2.8/100</f>
        <v>3.64</v>
      </c>
      <c r="D4" s="7">
        <f>B4*3.5/100</f>
        <v>4.55</v>
      </c>
      <c r="E4" s="7">
        <f>B4*4.7/100</f>
        <v>6.11</v>
      </c>
      <c r="F4" s="7">
        <f>B4*61/100</f>
        <v>79.3</v>
      </c>
      <c r="G4" s="7"/>
      <c r="H4" s="7"/>
      <c r="I4" s="1"/>
    </row>
    <row r="5" spans="1:9">
      <c r="A5" s="1" t="s">
        <v>8</v>
      </c>
      <c r="B5" s="8">
        <v>2</v>
      </c>
      <c r="C5" s="7">
        <f>B5*0.7/100</f>
        <v>1.3999999999999999E-2</v>
      </c>
      <c r="D5" s="7">
        <f>B5*72.5/100</f>
        <v>1.45</v>
      </c>
      <c r="E5" s="7">
        <f>B5*1/100</f>
        <v>0.02</v>
      </c>
      <c r="F5" s="7">
        <f>B5*709/100</f>
        <v>14.18</v>
      </c>
      <c r="G5" s="7"/>
      <c r="H5" s="7"/>
      <c r="I5" s="1"/>
    </row>
    <row r="6" spans="1:9">
      <c r="A6" s="1" t="s">
        <v>9</v>
      </c>
      <c r="B6" s="8">
        <v>3</v>
      </c>
      <c r="C6" s="7">
        <f>B6*0/100</f>
        <v>0</v>
      </c>
      <c r="D6" s="7">
        <f>B6*0/100</f>
        <v>0</v>
      </c>
      <c r="E6" s="7">
        <f>B6*99.8/100</f>
        <v>2.9939999999999998</v>
      </c>
      <c r="F6" s="7">
        <f>B6*379/100</f>
        <v>11.37</v>
      </c>
      <c r="G6" s="7"/>
      <c r="H6" s="7"/>
      <c r="I6" s="1"/>
    </row>
    <row r="7" spans="1:9">
      <c r="A7" s="2" t="s">
        <v>14</v>
      </c>
      <c r="B7" s="5"/>
      <c r="C7" s="5">
        <f>C3+C4+C5</f>
        <v>5.8540000000000001</v>
      </c>
      <c r="D7" s="5">
        <f>D3+D4+D5+D6</f>
        <v>7.24</v>
      </c>
      <c r="E7" s="5">
        <f>E3+E4+E5+E6</f>
        <v>19.143999999999998</v>
      </c>
      <c r="F7" s="5">
        <f>F3+F4+F5+F6</f>
        <v>165.85000000000002</v>
      </c>
      <c r="G7" s="5">
        <v>150</v>
      </c>
      <c r="H7" s="5"/>
      <c r="I7" s="1" t="s">
        <v>294</v>
      </c>
    </row>
    <row r="8" spans="1:9">
      <c r="A8" s="2" t="s">
        <v>98</v>
      </c>
      <c r="B8" s="7"/>
      <c r="C8" s="10"/>
      <c r="D8" s="10"/>
      <c r="E8" s="10"/>
      <c r="F8" s="10"/>
      <c r="G8" s="5"/>
      <c r="H8" s="5"/>
      <c r="I8" s="1"/>
    </row>
    <row r="9" spans="1:9">
      <c r="A9" s="1" t="s">
        <v>39</v>
      </c>
      <c r="B9" s="8">
        <v>1</v>
      </c>
      <c r="C9" s="10">
        <f>B9*24.2/100</f>
        <v>0.24199999999999999</v>
      </c>
      <c r="D9" s="10">
        <f>B9*17.5/100</f>
        <v>0.17499999999999999</v>
      </c>
      <c r="E9" s="10">
        <f>B9*27.9/100</f>
        <v>0.27899999999999997</v>
      </c>
      <c r="F9" s="10">
        <f>B9*373/100</f>
        <v>3.73</v>
      </c>
      <c r="G9" s="5"/>
      <c r="H9" s="5"/>
      <c r="I9" s="1"/>
    </row>
    <row r="10" spans="1:9">
      <c r="A10" s="1" t="s">
        <v>99</v>
      </c>
      <c r="B10" s="8">
        <v>130</v>
      </c>
      <c r="C10" s="10">
        <f>B10*2.8/100</f>
        <v>3.64</v>
      </c>
      <c r="D10" s="10">
        <f>B10*3.5/100</f>
        <v>4.55</v>
      </c>
      <c r="E10" s="10">
        <f>B10*4.7/100</f>
        <v>6.11</v>
      </c>
      <c r="F10" s="10">
        <f>B10*61/100</f>
        <v>79.3</v>
      </c>
      <c r="G10" s="5"/>
      <c r="H10" s="5"/>
      <c r="I10" s="1"/>
    </row>
    <row r="11" spans="1:9">
      <c r="A11" s="1" t="s">
        <v>9</v>
      </c>
      <c r="B11" s="8">
        <v>5</v>
      </c>
      <c r="C11" s="10">
        <f>B11*0/100</f>
        <v>0</v>
      </c>
      <c r="D11" s="10">
        <f>B11*0/100</f>
        <v>0</v>
      </c>
      <c r="E11" s="10">
        <f>B11*99.8/100</f>
        <v>4.99</v>
      </c>
      <c r="F11" s="10">
        <f t="shared" ref="F11" si="0">B11*379/100</f>
        <v>18.95</v>
      </c>
      <c r="G11" s="5"/>
      <c r="H11" s="5"/>
      <c r="I11" s="1"/>
    </row>
    <row r="12" spans="1:9">
      <c r="A12" s="2" t="s">
        <v>74</v>
      </c>
      <c r="B12" s="5"/>
      <c r="C12" s="5">
        <f>C9+C10+C11</f>
        <v>3.8820000000000001</v>
      </c>
      <c r="D12" s="5">
        <f>D9+D10+D11</f>
        <v>4.7249999999999996</v>
      </c>
      <c r="E12" s="5">
        <f>E9+E10+E11</f>
        <v>11.379000000000001</v>
      </c>
      <c r="F12" s="5">
        <f>F9+F10+F11</f>
        <v>101.98</v>
      </c>
      <c r="G12" s="5">
        <v>150</v>
      </c>
      <c r="H12" s="5"/>
      <c r="I12" s="1" t="s">
        <v>208</v>
      </c>
    </row>
    <row r="13" spans="1:9">
      <c r="A13" s="1" t="s">
        <v>12</v>
      </c>
      <c r="B13" s="7">
        <v>50</v>
      </c>
      <c r="C13" s="10">
        <f>B13*7.7/100</f>
        <v>3.85</v>
      </c>
      <c r="D13" s="10">
        <f>B13*3/100</f>
        <v>1.5</v>
      </c>
      <c r="E13" s="10">
        <f>B13*49.8/100</f>
        <v>24.9</v>
      </c>
      <c r="F13" s="10">
        <f>B13*262/100</f>
        <v>131</v>
      </c>
      <c r="G13" s="5">
        <v>50</v>
      </c>
      <c r="H13" s="5"/>
      <c r="I13" s="1"/>
    </row>
    <row r="14" spans="1:9">
      <c r="A14" s="1" t="s">
        <v>8</v>
      </c>
      <c r="B14" s="7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>
      <c r="A15" s="2" t="s">
        <v>189</v>
      </c>
      <c r="B15" s="9"/>
      <c r="C15" s="5">
        <f>C6+C7+C12+C13+C14</f>
        <v>13.621</v>
      </c>
      <c r="D15" s="5">
        <f>D6+D7+D12+D13+D14</f>
        <v>17.09</v>
      </c>
      <c r="E15" s="5">
        <f>E6+E7+E12+E13+E14</f>
        <v>58.466999999999992</v>
      </c>
      <c r="F15" s="5">
        <f>F6+F7+F12+F13+F14</f>
        <v>445.65000000000003</v>
      </c>
      <c r="G15" s="5">
        <v>355</v>
      </c>
      <c r="H15" s="5"/>
      <c r="I15" s="1"/>
    </row>
    <row r="16" spans="1:9">
      <c r="A16" s="1"/>
      <c r="B16" s="7"/>
      <c r="C16" s="10"/>
      <c r="D16" s="10"/>
      <c r="E16" s="10"/>
      <c r="F16" s="10"/>
      <c r="G16" s="7"/>
      <c r="H16" s="7"/>
      <c r="I16" s="1"/>
    </row>
    <row r="17" spans="1:9">
      <c r="A17" s="1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>
      <c r="A18" s="2" t="s">
        <v>101</v>
      </c>
      <c r="B18" s="5">
        <v>150</v>
      </c>
      <c r="C18" s="5">
        <f>B18*0.4/100</f>
        <v>0.6</v>
      </c>
      <c r="D18" s="5">
        <f>B18*0.4/100</f>
        <v>0.6</v>
      </c>
      <c r="E18" s="5">
        <f>B18*9.8/100</f>
        <v>14.7</v>
      </c>
      <c r="F18" s="5">
        <f>B18*45/100</f>
        <v>67.5</v>
      </c>
      <c r="G18" s="5">
        <v>150</v>
      </c>
      <c r="H18" s="5"/>
      <c r="I18" s="1" t="s">
        <v>237</v>
      </c>
    </row>
    <row r="19" spans="1:9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>
      <c r="A21" s="2" t="s">
        <v>232</v>
      </c>
      <c r="B21" s="7"/>
      <c r="C21" s="10"/>
      <c r="D21" s="10"/>
      <c r="E21" s="10"/>
      <c r="F21" s="10"/>
      <c r="G21" s="7"/>
      <c r="H21" s="7"/>
      <c r="I21" s="1"/>
    </row>
    <row r="22" spans="1:9">
      <c r="A22" s="1" t="s">
        <v>233</v>
      </c>
      <c r="B22" s="8">
        <v>50</v>
      </c>
      <c r="C22" s="10">
        <f>B22*20.9/100</f>
        <v>10.45</v>
      </c>
      <c r="D22" s="10">
        <f>B22*5.8/100</f>
        <v>2.9</v>
      </c>
      <c r="E22" s="10">
        <f>B22*0/100</f>
        <v>0</v>
      </c>
      <c r="F22" s="10">
        <f>B22*136/100</f>
        <v>68</v>
      </c>
      <c r="G22" s="7"/>
      <c r="H22" s="7"/>
      <c r="I22" s="1"/>
    </row>
    <row r="23" spans="1:9">
      <c r="A23" s="1" t="s">
        <v>15</v>
      </c>
      <c r="B23" s="8">
        <v>40</v>
      </c>
      <c r="C23" s="10">
        <f>B23*2/100</f>
        <v>0.8</v>
      </c>
      <c r="D23" s="10">
        <f>B23*0.4/100</f>
        <v>0.16</v>
      </c>
      <c r="E23" s="10">
        <f>B23*17.3/100</f>
        <v>6.92</v>
      </c>
      <c r="F23" s="10">
        <f>B23*80/100</f>
        <v>32</v>
      </c>
      <c r="G23" s="7"/>
      <c r="H23" s="7"/>
      <c r="I23" s="1"/>
    </row>
    <row r="24" spans="1:9">
      <c r="A24" s="1" t="s">
        <v>20</v>
      </c>
      <c r="B24" s="8">
        <v>11</v>
      </c>
      <c r="C24" s="10">
        <f>B24*1.4/100</f>
        <v>0.154</v>
      </c>
      <c r="D24" s="10">
        <f>B24*0/100</f>
        <v>0</v>
      </c>
      <c r="E24" s="10">
        <f>B24*9.1/100</f>
        <v>1.0009999999999999</v>
      </c>
      <c r="F24" s="10">
        <f>B24*41/100</f>
        <v>4.51</v>
      </c>
      <c r="G24" s="7"/>
      <c r="H24" s="7"/>
      <c r="I24" s="1"/>
    </row>
    <row r="25" spans="1:9">
      <c r="A25" s="1" t="s">
        <v>16</v>
      </c>
      <c r="B25" s="8">
        <v>11</v>
      </c>
      <c r="C25" s="10">
        <f>B25*1.3/100</f>
        <v>0.14300000000000002</v>
      </c>
      <c r="D25" s="10">
        <f>B25*0.1/100</f>
        <v>1.1000000000000001E-2</v>
      </c>
      <c r="E25" s="10">
        <f>B25*8.4/100</f>
        <v>0.92400000000000004</v>
      </c>
      <c r="F25" s="10">
        <f>B25*34/100</f>
        <v>3.74</v>
      </c>
      <c r="G25" s="7"/>
      <c r="H25" s="7"/>
      <c r="I25" s="1"/>
    </row>
    <row r="26" spans="1:9">
      <c r="A26" s="1" t="s">
        <v>105</v>
      </c>
      <c r="B26" s="8">
        <v>6</v>
      </c>
      <c r="C26" s="10">
        <f>B26*7/100</f>
        <v>0.42</v>
      </c>
      <c r="D26" s="10">
        <f>B26*1/100</f>
        <v>0.06</v>
      </c>
      <c r="E26" s="10">
        <f>B26*71.4/100</f>
        <v>4.2840000000000007</v>
      </c>
      <c r="F26" s="10">
        <f>B26*330/100</f>
        <v>19.8</v>
      </c>
      <c r="G26" s="7"/>
      <c r="H26" s="7"/>
      <c r="I26" s="1"/>
    </row>
    <row r="27" spans="1:9">
      <c r="A27" s="1" t="s">
        <v>8</v>
      </c>
      <c r="B27" s="8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7"/>
      <c r="H27" s="7"/>
      <c r="I27" s="1"/>
    </row>
    <row r="28" spans="1:9">
      <c r="A28" s="2" t="s">
        <v>14</v>
      </c>
      <c r="B28" s="5"/>
      <c r="C28" s="5">
        <f>C22+C23+C24+C25+C26+C27</f>
        <v>11.981</v>
      </c>
      <c r="D28" s="5">
        <f>D22+D23+D24+D25+D26+D27</f>
        <v>4.5810000000000004</v>
      </c>
      <c r="E28" s="5">
        <f>E22+E23+E24+E25+E26+E27</f>
        <v>13.148999999999999</v>
      </c>
      <c r="F28" s="5">
        <f>F22+F23+F24+F25+F26+F27</f>
        <v>142.23000000000002</v>
      </c>
      <c r="G28" s="5">
        <v>160</v>
      </c>
      <c r="H28" s="5"/>
      <c r="I28" s="1" t="s">
        <v>238</v>
      </c>
    </row>
    <row r="29" spans="1:9">
      <c r="A29" s="2" t="s">
        <v>355</v>
      </c>
      <c r="B29" s="7"/>
      <c r="C29" s="10"/>
      <c r="D29" s="10"/>
      <c r="E29" s="10"/>
      <c r="F29" s="10"/>
      <c r="G29" s="5"/>
      <c r="H29" s="5"/>
      <c r="I29" s="1"/>
    </row>
    <row r="30" spans="1:9">
      <c r="A30" s="1" t="s">
        <v>108</v>
      </c>
      <c r="B30" s="8">
        <v>55</v>
      </c>
      <c r="C30" s="10">
        <f>B30*18.6/100</f>
        <v>10.23</v>
      </c>
      <c r="D30" s="10">
        <f>B30*16/100</f>
        <v>8.8000000000000007</v>
      </c>
      <c r="E30" s="10">
        <f>B30*0/100</f>
        <v>0</v>
      </c>
      <c r="F30" s="10">
        <f>B30*218/100</f>
        <v>119.9</v>
      </c>
      <c r="G30" s="5"/>
      <c r="H30" s="5"/>
      <c r="I30" s="1"/>
    </row>
    <row r="31" spans="1:9">
      <c r="A31" s="1" t="s">
        <v>20</v>
      </c>
      <c r="B31" s="8">
        <v>11</v>
      </c>
      <c r="C31" s="10">
        <f>B31*1.4/100</f>
        <v>0.154</v>
      </c>
      <c r="D31" s="10">
        <f>B31*0/100</f>
        <v>0</v>
      </c>
      <c r="E31" s="10">
        <f>B31*9.1/100</f>
        <v>1.0009999999999999</v>
      </c>
      <c r="F31" s="10">
        <f>B31*41/100</f>
        <v>4.51</v>
      </c>
      <c r="G31" s="5"/>
      <c r="H31" s="5"/>
      <c r="I31" s="1"/>
    </row>
    <row r="32" spans="1:9">
      <c r="A32" s="1" t="s">
        <v>21</v>
      </c>
      <c r="B32" s="8">
        <v>8</v>
      </c>
      <c r="C32" s="10">
        <f>B32*12.7/100</f>
        <v>1.016</v>
      </c>
      <c r="D32" s="10">
        <f>B32*11.5/100</f>
        <v>0.92</v>
      </c>
      <c r="E32" s="10">
        <f>B32*0.7/100</f>
        <v>5.5999999999999994E-2</v>
      </c>
      <c r="F32" s="10">
        <f>B32*157/100</f>
        <v>12.56</v>
      </c>
      <c r="G32" s="5"/>
      <c r="H32" s="5"/>
      <c r="I32" s="1"/>
    </row>
    <row r="33" spans="1:9">
      <c r="A33" s="1" t="s">
        <v>26</v>
      </c>
      <c r="B33" s="8">
        <v>110</v>
      </c>
      <c r="C33" s="10">
        <f>B33*1.8/100</f>
        <v>1.98</v>
      </c>
      <c r="D33" s="10">
        <f>B33*0.1/100</f>
        <v>0.11</v>
      </c>
      <c r="E33" s="10">
        <f>B33*4.7/100</f>
        <v>5.17</v>
      </c>
      <c r="F33" s="10">
        <f>B33*27/100</f>
        <v>29.7</v>
      </c>
      <c r="G33" s="5"/>
      <c r="H33" s="5"/>
      <c r="I33" s="1"/>
    </row>
    <row r="34" spans="1:9">
      <c r="A34" s="1" t="s">
        <v>57</v>
      </c>
      <c r="B34" s="8">
        <v>3</v>
      </c>
      <c r="C34" s="10">
        <f>B34*0/100</f>
        <v>0</v>
      </c>
      <c r="D34" s="10">
        <f t="shared" ref="D34" si="1">B34*8.5/100</f>
        <v>0.255</v>
      </c>
      <c r="E34" s="10">
        <f>B34*0/100</f>
        <v>0</v>
      </c>
      <c r="F34" s="10">
        <f>B34*899/100</f>
        <v>26.97</v>
      </c>
      <c r="G34" s="5"/>
      <c r="H34" s="5"/>
      <c r="I34" s="1"/>
    </row>
    <row r="35" spans="1:9">
      <c r="A35" s="1" t="s">
        <v>61</v>
      </c>
      <c r="B35" s="8">
        <v>7</v>
      </c>
      <c r="C35" s="10">
        <f>B35*10.3/100</f>
        <v>0.72100000000000009</v>
      </c>
      <c r="D35" s="10">
        <f>B35*1/100</f>
        <v>7.0000000000000007E-2</v>
      </c>
      <c r="E35" s="10">
        <f>B35*67.9/100</f>
        <v>4.753000000000001</v>
      </c>
      <c r="F35" s="10">
        <f>B35*328/100</f>
        <v>22.96</v>
      </c>
      <c r="G35" s="5"/>
      <c r="H35" s="5"/>
      <c r="I35" s="1" t="s">
        <v>239</v>
      </c>
    </row>
    <row r="36" spans="1:9">
      <c r="A36" s="3" t="s">
        <v>44</v>
      </c>
      <c r="B36" s="11">
        <v>10</v>
      </c>
      <c r="C36" s="10">
        <f>B36*2.8/100</f>
        <v>0.28000000000000003</v>
      </c>
      <c r="D36" s="10">
        <f>B36*15/100</f>
        <v>1.5</v>
      </c>
      <c r="E36" s="10">
        <f>B36*3.2/100</f>
        <v>0.32</v>
      </c>
      <c r="F36" s="10">
        <f>B36*206/100</f>
        <v>20.6</v>
      </c>
      <c r="G36" s="10"/>
      <c r="H36" s="5"/>
      <c r="I36" s="1"/>
    </row>
    <row r="37" spans="1:9">
      <c r="A37" s="1" t="s">
        <v>356</v>
      </c>
      <c r="B37" s="9"/>
      <c r="C37" s="5">
        <f>C30+C31+C32+C33+C34+C35+C36</f>
        <v>14.381</v>
      </c>
      <c r="D37" s="5">
        <f>D30+D31+D32+D33+D34+D35+D36</f>
        <v>11.655000000000001</v>
      </c>
      <c r="E37" s="5">
        <f>E30+E31+E32+E33+E34+E35+E36</f>
        <v>11.3</v>
      </c>
      <c r="F37" s="5">
        <f>F30+F31+F32+F33+F34+F35+F36</f>
        <v>237.2</v>
      </c>
      <c r="G37" s="5">
        <v>170</v>
      </c>
      <c r="H37" s="5"/>
      <c r="I37" s="1"/>
    </row>
    <row r="38" spans="1:9">
      <c r="A38" s="2" t="s">
        <v>264</v>
      </c>
      <c r="B38" s="5">
        <v>50</v>
      </c>
      <c r="C38" s="5">
        <f>B38*0.8/100</f>
        <v>0.4</v>
      </c>
      <c r="D38" s="5">
        <f>B38*0.1/100</f>
        <v>0.05</v>
      </c>
      <c r="E38" s="5">
        <f>B38*3.4/100</f>
        <v>1.7</v>
      </c>
      <c r="F38" s="5">
        <f>B38*14/100</f>
        <v>7</v>
      </c>
      <c r="G38" s="5">
        <v>50</v>
      </c>
      <c r="H38" s="5"/>
      <c r="I38" s="1"/>
    </row>
    <row r="39" spans="1:9">
      <c r="A39" s="1" t="s">
        <v>72</v>
      </c>
      <c r="B39" s="7"/>
      <c r="C39" s="10"/>
      <c r="D39" s="10"/>
      <c r="E39" s="10"/>
      <c r="F39" s="10"/>
      <c r="G39" s="5"/>
      <c r="H39" s="5"/>
      <c r="I39" s="1"/>
    </row>
    <row r="40" spans="1:9">
      <c r="A40" s="2" t="s">
        <v>234</v>
      </c>
      <c r="B40" s="8">
        <v>7</v>
      </c>
      <c r="C40" s="10">
        <f>B40*3.4/100</f>
        <v>0.23800000000000002</v>
      </c>
      <c r="D40" s="10">
        <f>B40*0/100</f>
        <v>0</v>
      </c>
      <c r="E40" s="10">
        <f>B40*21.5/100</f>
        <v>1.5049999999999999</v>
      </c>
      <c r="F40" s="10">
        <f>B40*110/100</f>
        <v>7.7</v>
      </c>
      <c r="G40" s="5"/>
      <c r="H40" s="5"/>
      <c r="I40" s="1"/>
    </row>
    <row r="41" spans="1:9">
      <c r="A41" s="1" t="s">
        <v>9</v>
      </c>
      <c r="B41" s="8">
        <v>5</v>
      </c>
      <c r="C41" s="10">
        <f>B41*0/100</f>
        <v>0</v>
      </c>
      <c r="D41" s="10">
        <f>B41*0/100</f>
        <v>0</v>
      </c>
      <c r="E41" s="10">
        <f>B41*99.8/100</f>
        <v>4.99</v>
      </c>
      <c r="F41" s="10">
        <f t="shared" ref="F41" si="2">B41*379/100</f>
        <v>18.95</v>
      </c>
      <c r="G41" s="5"/>
      <c r="H41" s="5"/>
      <c r="I41" s="1"/>
    </row>
    <row r="42" spans="1:9">
      <c r="A42" s="2" t="s">
        <v>14</v>
      </c>
      <c r="B42" s="5"/>
      <c r="C42" s="5">
        <f>C40+C41</f>
        <v>0.23800000000000002</v>
      </c>
      <c r="D42" s="5">
        <f>D40+D41</f>
        <v>0</v>
      </c>
      <c r="E42" s="5">
        <f>E40+E41</f>
        <v>6.4950000000000001</v>
      </c>
      <c r="F42" s="5">
        <f>F40+F41</f>
        <v>26.65</v>
      </c>
      <c r="G42" s="5">
        <v>150</v>
      </c>
      <c r="H42" s="5"/>
      <c r="I42" s="1" t="s">
        <v>240</v>
      </c>
    </row>
    <row r="43" spans="1:9">
      <c r="A43" s="1" t="s">
        <v>32</v>
      </c>
      <c r="B43" s="7">
        <v>34</v>
      </c>
      <c r="C43" s="5">
        <f>B43*6.6/100</f>
        <v>2.2439999999999998</v>
      </c>
      <c r="D43" s="5">
        <f>B43*1.2/100</f>
        <v>0.40799999999999997</v>
      </c>
      <c r="E43" s="5">
        <f>B43*34.2/100</f>
        <v>11.628000000000002</v>
      </c>
      <c r="F43" s="5">
        <f>B43*181/100</f>
        <v>61.54</v>
      </c>
      <c r="G43" s="5">
        <v>34</v>
      </c>
      <c r="H43" s="5"/>
      <c r="I43" s="1"/>
    </row>
    <row r="44" spans="1:9" ht="19.5" customHeight="1">
      <c r="A44" s="2" t="s">
        <v>112</v>
      </c>
      <c r="B44" s="5"/>
      <c r="C44" s="5">
        <f>C28+C37+C38+C42+C43</f>
        <v>29.244</v>
      </c>
      <c r="D44" s="5">
        <f>D28+D37+D38+D42+D43</f>
        <v>16.694000000000003</v>
      </c>
      <c r="E44" s="5">
        <f>E28+E37+E38+E42+E43</f>
        <v>44.271999999999998</v>
      </c>
      <c r="F44" s="5">
        <f>F28+F37+F38+F42+F43</f>
        <v>474.62</v>
      </c>
      <c r="G44" s="5">
        <v>559</v>
      </c>
      <c r="H44" s="5"/>
      <c r="I44" s="1"/>
    </row>
    <row r="45" spans="1:9" ht="28.5" customHeight="1">
      <c r="A45" s="14" t="s">
        <v>196</v>
      </c>
      <c r="B45" s="16">
        <v>2.5499999999999998</v>
      </c>
      <c r="C45" s="16"/>
      <c r="D45" s="16"/>
      <c r="E45" s="16"/>
      <c r="F45" s="16"/>
      <c r="G45" s="7"/>
      <c r="H45" s="7"/>
      <c r="I45" s="1"/>
    </row>
    <row r="46" spans="1:9">
      <c r="A46" s="1"/>
      <c r="B46" s="7"/>
      <c r="C46" s="10"/>
      <c r="D46" s="10"/>
      <c r="E46" s="10"/>
      <c r="F46" s="10"/>
      <c r="G46" s="7"/>
      <c r="H46" s="7"/>
      <c r="I46" s="1"/>
    </row>
    <row r="47" spans="1:9">
      <c r="A47" s="1" t="s">
        <v>276</v>
      </c>
      <c r="B47" s="7"/>
      <c r="C47" s="10"/>
      <c r="D47" s="10"/>
      <c r="E47" s="10"/>
      <c r="F47" s="10"/>
      <c r="G47" s="7"/>
      <c r="H47" s="7"/>
      <c r="I47" s="1"/>
    </row>
    <row r="48" spans="1:9">
      <c r="A48" s="2" t="s">
        <v>82</v>
      </c>
      <c r="B48" s="16"/>
      <c r="C48" s="16"/>
      <c r="D48" s="16"/>
      <c r="E48" s="16"/>
      <c r="F48" s="17"/>
      <c r="G48" s="5"/>
      <c r="H48" s="5"/>
      <c r="I48" s="1"/>
    </row>
    <row r="49" spans="1:9">
      <c r="A49" s="3" t="s">
        <v>83</v>
      </c>
      <c r="B49" s="11">
        <v>0.5</v>
      </c>
      <c r="C49" s="10">
        <f>B49*0/100</f>
        <v>0</v>
      </c>
      <c r="D49" s="10">
        <f>B49*0/100</f>
        <v>0</v>
      </c>
      <c r="E49" s="10">
        <f>B49*0/100</f>
        <v>0</v>
      </c>
      <c r="F49" s="10">
        <f>B49*0/100</f>
        <v>0</v>
      </c>
      <c r="G49" s="10"/>
      <c r="H49" s="10"/>
      <c r="I49" s="3"/>
    </row>
    <row r="50" spans="1:9">
      <c r="A50" s="3" t="s">
        <v>9</v>
      </c>
      <c r="B50" s="11">
        <v>5</v>
      </c>
      <c r="C50" s="10">
        <f>B50*0/100</f>
        <v>0</v>
      </c>
      <c r="D50" s="10">
        <f>B50*0/100</f>
        <v>0</v>
      </c>
      <c r="E50" s="10">
        <f>B50*99.8/100</f>
        <v>4.99</v>
      </c>
      <c r="F50" s="10">
        <f t="shared" ref="F50" si="3">B50*379/100</f>
        <v>18.95</v>
      </c>
      <c r="G50" s="10"/>
      <c r="H50" s="10"/>
      <c r="I50" s="3"/>
    </row>
    <row r="51" spans="1:9">
      <c r="A51" s="3" t="s">
        <v>84</v>
      </c>
      <c r="B51" s="11">
        <v>8</v>
      </c>
      <c r="C51" s="10">
        <f>B51*0.9/100</f>
        <v>7.2000000000000008E-2</v>
      </c>
      <c r="D51" s="10">
        <f>B51*0/100</f>
        <v>0</v>
      </c>
      <c r="E51" s="10">
        <f>B51*3/100</f>
        <v>0.24</v>
      </c>
      <c r="F51" s="10">
        <f>B51*33/100</f>
        <v>2.64</v>
      </c>
      <c r="G51" s="10"/>
      <c r="H51" s="10"/>
      <c r="I51" s="3"/>
    </row>
    <row r="52" spans="1:9">
      <c r="A52" s="2" t="s">
        <v>14</v>
      </c>
      <c r="B52" s="5"/>
      <c r="C52" s="5">
        <f>C49+C50+C51</f>
        <v>7.2000000000000008E-2</v>
      </c>
      <c r="D52" s="5">
        <f>D49+D50+D51</f>
        <v>0</v>
      </c>
      <c r="E52" s="5">
        <f>E50+E51</f>
        <v>5.23</v>
      </c>
      <c r="F52" s="5">
        <f>F50+F51</f>
        <v>21.59</v>
      </c>
      <c r="G52" s="5">
        <v>150</v>
      </c>
      <c r="H52" s="5"/>
      <c r="I52" s="3" t="s">
        <v>228</v>
      </c>
    </row>
    <row r="53" spans="1:9">
      <c r="A53" s="2" t="s">
        <v>96</v>
      </c>
      <c r="B53" s="7"/>
      <c r="C53" s="10"/>
      <c r="D53" s="10"/>
      <c r="E53" s="10"/>
      <c r="F53" s="10"/>
      <c r="G53" s="7"/>
      <c r="H53" s="7"/>
      <c r="I53" s="1"/>
    </row>
    <row r="54" spans="1:9">
      <c r="A54" s="1" t="s">
        <v>21</v>
      </c>
      <c r="B54" s="8">
        <v>80</v>
      </c>
      <c r="C54" s="10">
        <f>B54*12.7/100</f>
        <v>10.16</v>
      </c>
      <c r="D54" s="10">
        <f>B54*11.5/100</f>
        <v>9.1999999999999993</v>
      </c>
      <c r="E54" s="10">
        <f>B54*0.7/100</f>
        <v>0.56000000000000005</v>
      </c>
      <c r="F54" s="10">
        <f>B54*157/100</f>
        <v>125.6</v>
      </c>
      <c r="G54" s="7"/>
      <c r="H54" s="7"/>
      <c r="I54" s="1"/>
    </row>
    <row r="55" spans="1:9">
      <c r="A55" s="1" t="s">
        <v>7</v>
      </c>
      <c r="B55" s="8">
        <v>80</v>
      </c>
      <c r="C55" s="10">
        <f>B55*2.8/100</f>
        <v>2.2400000000000002</v>
      </c>
      <c r="D55" s="10">
        <f>B55*3.5/100</f>
        <v>2.8</v>
      </c>
      <c r="E55" s="10">
        <f>B55*4.7/100</f>
        <v>3.76</v>
      </c>
      <c r="F55" s="10">
        <f>B55*61/100</f>
        <v>48.8</v>
      </c>
      <c r="G55" s="7"/>
      <c r="H55" s="7"/>
      <c r="I55" s="1"/>
    </row>
    <row r="56" spans="1:9">
      <c r="A56" s="1" t="s">
        <v>8</v>
      </c>
      <c r="B56" s="8">
        <v>3</v>
      </c>
      <c r="C56" s="10">
        <f>B56*0.7/100</f>
        <v>2.0999999999999998E-2</v>
      </c>
      <c r="D56" s="10">
        <f>B56*72.5/100</f>
        <v>2.1749999999999998</v>
      </c>
      <c r="E56" s="10">
        <f>B56*1/100</f>
        <v>0.03</v>
      </c>
      <c r="F56" s="10">
        <f>B56*709/100</f>
        <v>21.27</v>
      </c>
      <c r="G56" s="5"/>
      <c r="H56" s="5"/>
      <c r="I56" s="1"/>
    </row>
    <row r="57" spans="1:9">
      <c r="A57" s="2" t="s">
        <v>14</v>
      </c>
      <c r="B57" s="5"/>
      <c r="C57" s="5">
        <f>C54+C55+C56</f>
        <v>12.421000000000001</v>
      </c>
      <c r="D57" s="5">
        <f>D54+D55+D56</f>
        <v>14.175000000000001</v>
      </c>
      <c r="E57" s="5">
        <f>E54+E55+E56</f>
        <v>4.3500000000000005</v>
      </c>
      <c r="F57" s="5">
        <f>F54+F55+F56</f>
        <v>195.67</v>
      </c>
      <c r="G57" s="5">
        <v>140</v>
      </c>
      <c r="H57" s="5"/>
      <c r="I57" s="1" t="s">
        <v>235</v>
      </c>
    </row>
    <row r="58" spans="1:9">
      <c r="A58" s="2" t="s">
        <v>97</v>
      </c>
      <c r="B58" s="9">
        <v>30</v>
      </c>
      <c r="C58" s="5">
        <f>B58*3.2/100</f>
        <v>0.96</v>
      </c>
      <c r="D58" s="5">
        <f>B58*0.2/100</f>
        <v>0.06</v>
      </c>
      <c r="E58" s="5">
        <f>B58*6.5/100</f>
        <v>1.95</v>
      </c>
      <c r="F58" s="5">
        <f>B58*40/100</f>
        <v>12</v>
      </c>
      <c r="G58" s="24">
        <v>30</v>
      </c>
      <c r="H58" s="5"/>
      <c r="I58" s="2" t="s">
        <v>236</v>
      </c>
    </row>
    <row r="59" spans="1:9">
      <c r="A59" s="2" t="s">
        <v>282</v>
      </c>
      <c r="B59" s="5"/>
      <c r="C59" s="5">
        <f>C52+C57+C58</f>
        <v>13.452999999999999</v>
      </c>
      <c r="D59" s="5">
        <f>D52+D57+D58</f>
        <v>14.235000000000001</v>
      </c>
      <c r="E59" s="5">
        <f>E52+E57+E58</f>
        <v>11.530000000000001</v>
      </c>
      <c r="F59" s="5">
        <f>F52+F57+F58</f>
        <v>229.26</v>
      </c>
      <c r="G59" s="5">
        <v>340</v>
      </c>
      <c r="H59" s="7"/>
      <c r="I59" s="1"/>
    </row>
    <row r="60" spans="1:9">
      <c r="A60" s="2" t="s">
        <v>280</v>
      </c>
      <c r="B60" s="5"/>
      <c r="C60" s="5">
        <f>C15+C18+C44+C59</f>
        <v>56.918000000000006</v>
      </c>
      <c r="D60" s="5">
        <f>D15+D18+D44+D59</f>
        <v>48.619</v>
      </c>
      <c r="E60" s="5">
        <f>E15+E18+E44+E59</f>
        <v>128.96899999999999</v>
      </c>
      <c r="F60" s="5">
        <f>F15+F18+F44+F59</f>
        <v>1217.0300000000002</v>
      </c>
      <c r="G60" s="7"/>
      <c r="H60" s="7"/>
      <c r="I60" s="1"/>
    </row>
    <row r="61" spans="1:9">
      <c r="A61" s="1"/>
      <c r="B61" s="7"/>
      <c r="C61" s="10"/>
      <c r="D61" s="10"/>
      <c r="E61" s="10"/>
      <c r="F61" s="10"/>
      <c r="G61" s="7"/>
      <c r="H61" s="7"/>
      <c r="I61" s="1"/>
    </row>
    <row r="62" spans="1:9">
      <c r="A62" s="1" t="s">
        <v>293</v>
      </c>
      <c r="B62" s="7"/>
      <c r="C62" s="10"/>
      <c r="D62" s="10"/>
      <c r="E62" s="10"/>
      <c r="F62" s="10"/>
      <c r="G62" s="7"/>
      <c r="H62" s="7"/>
      <c r="I62" s="1"/>
    </row>
  </sheetData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2"/>
  <sheetViews>
    <sheetView topLeftCell="A40" workbookViewId="0">
      <selection activeCell="G59" sqref="G59"/>
    </sheetView>
  </sheetViews>
  <sheetFormatPr defaultRowHeight="15"/>
  <cols>
    <col min="1" max="1" width="36.85546875" customWidth="1"/>
    <col min="2" max="2" width="6.85546875" customWidth="1"/>
    <col min="3" max="3" width="7.85546875" customWidth="1"/>
    <col min="4" max="4" width="7.5703125" customWidth="1"/>
    <col min="5" max="5" width="7.85546875" customWidth="1"/>
    <col min="7" max="8" width="8.140625" customWidth="1"/>
    <col min="9" max="9" width="13.5703125" customWidth="1"/>
  </cols>
  <sheetData>
    <row r="1" spans="1:9">
      <c r="A1" s="15" t="s">
        <v>113</v>
      </c>
      <c r="B1" s="7"/>
      <c r="C1" s="10"/>
      <c r="D1" s="10"/>
      <c r="E1" s="10"/>
      <c r="F1" s="10"/>
      <c r="G1" s="7"/>
      <c r="H1" s="28" t="s">
        <v>114</v>
      </c>
      <c r="I1" s="2" t="s">
        <v>197</v>
      </c>
    </row>
    <row r="2" spans="1:9" ht="22.5" customHeight="1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>
      <c r="A3" s="25" t="s">
        <v>115</v>
      </c>
      <c r="B3" s="8"/>
      <c r="C3" s="10"/>
      <c r="D3" s="10"/>
      <c r="E3" s="10"/>
      <c r="F3" s="10"/>
      <c r="G3" s="7"/>
      <c r="H3" s="7"/>
      <c r="I3" s="1"/>
    </row>
    <row r="4" spans="1:9">
      <c r="A4" s="1" t="s">
        <v>61</v>
      </c>
      <c r="B4" s="8">
        <v>17</v>
      </c>
      <c r="C4" s="10">
        <f>B4*10.3/100</f>
        <v>1.7510000000000003</v>
      </c>
      <c r="D4" s="10">
        <f>B4*1/100</f>
        <v>0.17</v>
      </c>
      <c r="E4" s="10">
        <f>B4*67.9/100</f>
        <v>11.543000000000001</v>
      </c>
      <c r="F4" s="10">
        <f>B4*328/100</f>
        <v>55.76</v>
      </c>
      <c r="G4" s="7"/>
      <c r="H4" s="7"/>
      <c r="I4" s="1"/>
    </row>
    <row r="5" spans="1:9">
      <c r="A5" s="1" t="s">
        <v>7</v>
      </c>
      <c r="B5" s="8">
        <v>130</v>
      </c>
      <c r="C5" s="10">
        <f>B5*2.8/100</f>
        <v>3.64</v>
      </c>
      <c r="D5" s="10">
        <f>B5*3.5/100</f>
        <v>4.55</v>
      </c>
      <c r="E5" s="10">
        <f>B5*4.7/100</f>
        <v>6.11</v>
      </c>
      <c r="F5" s="10">
        <f>B5*61/100</f>
        <v>79.3</v>
      </c>
      <c r="G5" s="7"/>
      <c r="H5" s="7"/>
      <c r="I5" s="1"/>
    </row>
    <row r="6" spans="1:9">
      <c r="A6" s="1" t="s">
        <v>8</v>
      </c>
      <c r="B6" s="8">
        <v>3</v>
      </c>
      <c r="C6" s="10">
        <f>B6*0.7/100</f>
        <v>2.0999999999999998E-2</v>
      </c>
      <c r="D6" s="10">
        <f>B6*72.5/100</f>
        <v>2.1749999999999998</v>
      </c>
      <c r="E6" s="10">
        <f>B6*1/100</f>
        <v>0.03</v>
      </c>
      <c r="F6" s="10">
        <f>B6*709/100</f>
        <v>21.27</v>
      </c>
      <c r="G6" s="5"/>
      <c r="H6" s="5"/>
      <c r="I6" s="1"/>
    </row>
    <row r="7" spans="1:9">
      <c r="A7" s="1" t="s">
        <v>9</v>
      </c>
      <c r="B7" s="8">
        <v>3</v>
      </c>
      <c r="C7" s="10">
        <f>B7*0/100</f>
        <v>0</v>
      </c>
      <c r="D7" s="10">
        <f>B7*0/100</f>
        <v>0</v>
      </c>
      <c r="E7" s="10">
        <f>B7*99.8/100</f>
        <v>2.9939999999999998</v>
      </c>
      <c r="F7" s="10">
        <f t="shared" ref="F7:F12" si="0">B7*379/100</f>
        <v>11.37</v>
      </c>
      <c r="G7" s="5"/>
      <c r="H7" s="5"/>
      <c r="I7" s="1"/>
    </row>
    <row r="8" spans="1:9">
      <c r="A8" s="2" t="s">
        <v>14</v>
      </c>
      <c r="B8" s="5"/>
      <c r="C8" s="5">
        <f>C4+C5+C6+C7</f>
        <v>5.4119999999999999</v>
      </c>
      <c r="D8" s="5">
        <f>D4+D5+D6+D7</f>
        <v>6.8949999999999996</v>
      </c>
      <c r="E8" s="5">
        <f>E4+E5+E6+E7</f>
        <v>20.677000000000003</v>
      </c>
      <c r="F8" s="5">
        <f>F4+F5+F6+F7</f>
        <v>167.70000000000002</v>
      </c>
      <c r="G8" s="5">
        <v>150</v>
      </c>
      <c r="H8" s="5"/>
      <c r="I8" s="1" t="s">
        <v>241</v>
      </c>
    </row>
    <row r="9" spans="1:9">
      <c r="A9" s="25" t="s">
        <v>63</v>
      </c>
      <c r="B9" s="7"/>
      <c r="C9" s="10"/>
      <c r="D9" s="10"/>
      <c r="E9" s="10"/>
      <c r="F9" s="10"/>
      <c r="G9" s="5"/>
      <c r="H9" s="5"/>
      <c r="I9" s="1"/>
    </row>
    <row r="10" spans="1:9">
      <c r="A10" s="1" t="s">
        <v>116</v>
      </c>
      <c r="B10" s="8">
        <v>2</v>
      </c>
      <c r="C10" s="10">
        <f>B10*24.2/100</f>
        <v>0.48399999999999999</v>
      </c>
      <c r="D10" s="10">
        <f>B10*17.5/100</f>
        <v>0.35</v>
      </c>
      <c r="E10" s="10">
        <f>B10*27.9/100</f>
        <v>0.55799999999999994</v>
      </c>
      <c r="F10" s="10">
        <f>B10*373/100</f>
        <v>7.46</v>
      </c>
      <c r="G10" s="5"/>
      <c r="H10" s="5"/>
      <c r="I10" s="1"/>
    </row>
    <row r="11" spans="1:9">
      <c r="A11" s="1" t="s">
        <v>99</v>
      </c>
      <c r="B11" s="8">
        <v>130</v>
      </c>
      <c r="C11" s="10">
        <f>B11*2.8/100</f>
        <v>3.64</v>
      </c>
      <c r="D11" s="10">
        <f>B11*3.5/100</f>
        <v>4.55</v>
      </c>
      <c r="E11" s="10">
        <f>B11*4.7/100</f>
        <v>6.11</v>
      </c>
      <c r="F11" s="10">
        <f>B11*61/100</f>
        <v>79.3</v>
      </c>
      <c r="G11" s="5"/>
      <c r="H11" s="5"/>
      <c r="I11" s="1"/>
    </row>
    <row r="12" spans="1:9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10">
        <f>B12*99.8/100</f>
        <v>6.9860000000000007</v>
      </c>
      <c r="F12" s="10">
        <f t="shared" si="0"/>
        <v>26.53</v>
      </c>
      <c r="G12" s="5"/>
      <c r="H12" s="5"/>
      <c r="I12" s="1"/>
    </row>
    <row r="13" spans="1:9">
      <c r="A13" s="2" t="s">
        <v>14</v>
      </c>
      <c r="B13" s="5"/>
      <c r="C13" s="5">
        <f>C10+C11+C12</f>
        <v>4.1240000000000006</v>
      </c>
      <c r="D13" s="5">
        <f>D10+D11+D12</f>
        <v>4.8999999999999995</v>
      </c>
      <c r="E13" s="5">
        <f>E10+E11+E12</f>
        <v>13.654</v>
      </c>
      <c r="F13" s="5">
        <f>F10+F11+F12</f>
        <v>113.28999999999999</v>
      </c>
      <c r="G13" s="5">
        <v>150</v>
      </c>
      <c r="H13" s="5"/>
      <c r="I13" s="1" t="s">
        <v>217</v>
      </c>
    </row>
    <row r="14" spans="1:9">
      <c r="A14" s="1" t="s">
        <v>12</v>
      </c>
      <c r="B14" s="8">
        <v>50</v>
      </c>
      <c r="C14" s="10">
        <f>B14*7.7/100</f>
        <v>3.85</v>
      </c>
      <c r="D14" s="10">
        <f>B14*3/100</f>
        <v>1.5</v>
      </c>
      <c r="E14" s="10">
        <f>B14*49.8/100</f>
        <v>24.9</v>
      </c>
      <c r="F14" s="10">
        <f>B14*262/100</f>
        <v>131</v>
      </c>
      <c r="G14" s="5">
        <v>50</v>
      </c>
      <c r="H14" s="5"/>
      <c r="I14" s="1"/>
    </row>
    <row r="15" spans="1:9">
      <c r="A15" s="1" t="s">
        <v>8</v>
      </c>
      <c r="B15" s="8">
        <v>5</v>
      </c>
      <c r="C15" s="10">
        <f>B15*0.7/100</f>
        <v>3.5000000000000003E-2</v>
      </c>
      <c r="D15" s="10">
        <f>B15*72.5/100</f>
        <v>3.625</v>
      </c>
      <c r="E15" s="10">
        <f>B15*1/100</f>
        <v>0.05</v>
      </c>
      <c r="F15" s="10">
        <f>B15*709/100</f>
        <v>35.450000000000003</v>
      </c>
      <c r="G15" s="5">
        <v>5</v>
      </c>
      <c r="H15" s="5"/>
      <c r="I15" s="1"/>
    </row>
    <row r="16" spans="1:9">
      <c r="A16" s="2" t="s">
        <v>21</v>
      </c>
      <c r="B16" s="8">
        <v>40</v>
      </c>
      <c r="C16" s="10">
        <f>B16*12.7/100</f>
        <v>5.08</v>
      </c>
      <c r="D16" s="10">
        <f>B16*11.5/100</f>
        <v>4.5999999999999996</v>
      </c>
      <c r="E16" s="10">
        <f>B16*0.8/100</f>
        <v>0.32</v>
      </c>
      <c r="F16" s="10">
        <f>B16*157/100</f>
        <v>62.8</v>
      </c>
      <c r="G16" s="5">
        <v>40</v>
      </c>
      <c r="H16" s="5"/>
      <c r="I16" s="1"/>
    </row>
    <row r="17" spans="1:9">
      <c r="A17" s="2" t="s">
        <v>118</v>
      </c>
      <c r="B17" s="5"/>
      <c r="C17" s="5">
        <f>C8+C13+C14+C15+C16</f>
        <v>18.501000000000001</v>
      </c>
      <c r="D17" s="5">
        <f>D8+D13+D14+D15+D16</f>
        <v>21.519999999999996</v>
      </c>
      <c r="E17" s="5">
        <f>E8+E13+E14+E15+E16</f>
        <v>59.600999999999999</v>
      </c>
      <c r="F17" s="5">
        <f>F8+F13+F14+F15+F16</f>
        <v>510.24</v>
      </c>
      <c r="G17" s="5">
        <v>395</v>
      </c>
      <c r="H17" s="5"/>
      <c r="I17" s="1"/>
    </row>
    <row r="18" spans="1:9">
      <c r="A18" s="1"/>
      <c r="B18" s="7"/>
      <c r="C18" s="10"/>
      <c r="D18" s="10"/>
      <c r="E18" s="10"/>
      <c r="F18" s="10"/>
      <c r="G18" s="7"/>
      <c r="H18" s="7"/>
      <c r="I18" s="1"/>
    </row>
    <row r="19" spans="1:9">
      <c r="A19" s="2" t="s">
        <v>119</v>
      </c>
      <c r="B19" s="5">
        <v>150</v>
      </c>
      <c r="C19" s="5">
        <f>B19*1.5/100</f>
        <v>2.25</v>
      </c>
      <c r="D19" s="5">
        <f>B19*0.1/100</f>
        <v>0.15</v>
      </c>
      <c r="E19" s="5">
        <f>B19*19.2/100</f>
        <v>28.8</v>
      </c>
      <c r="F19" s="5">
        <f>B19*89/100</f>
        <v>133.5</v>
      </c>
      <c r="G19" s="5">
        <v>150</v>
      </c>
      <c r="H19" s="5"/>
      <c r="I19" s="1" t="s">
        <v>242</v>
      </c>
    </row>
    <row r="20" spans="1:9" ht="21" customHeight="1">
      <c r="A20" s="2" t="s">
        <v>33</v>
      </c>
      <c r="B20" s="7"/>
      <c r="C20" s="10"/>
      <c r="D20" s="10"/>
      <c r="E20" s="10"/>
      <c r="F20" s="10"/>
      <c r="G20" s="7"/>
      <c r="H20" s="7"/>
      <c r="I20" s="1"/>
    </row>
    <row r="21" spans="1:9" ht="21" customHeight="1">
      <c r="A21" s="2" t="s">
        <v>194</v>
      </c>
      <c r="B21" s="7"/>
      <c r="C21" s="10"/>
      <c r="D21" s="10"/>
      <c r="E21" s="10"/>
      <c r="F21" s="10"/>
      <c r="G21" s="7"/>
      <c r="H21" s="7"/>
      <c r="I21" s="1"/>
    </row>
    <row r="22" spans="1:9">
      <c r="A22" s="1" t="s">
        <v>195</v>
      </c>
      <c r="B22" s="7">
        <v>6</v>
      </c>
      <c r="C22" s="10">
        <f>B22*7/100</f>
        <v>0.42</v>
      </c>
      <c r="D22" s="10">
        <f>B22*1/100</f>
        <v>0.06</v>
      </c>
      <c r="E22" s="10">
        <f>B22*71.4/100</f>
        <v>4.2840000000000007</v>
      </c>
      <c r="F22" s="10">
        <f>B22*329/100</f>
        <v>19.739999999999998</v>
      </c>
      <c r="G22" s="7"/>
      <c r="H22" s="7"/>
      <c r="I22" s="1"/>
    </row>
    <row r="23" spans="1:9">
      <c r="A23" s="1" t="s">
        <v>44</v>
      </c>
      <c r="B23" s="7">
        <v>12</v>
      </c>
      <c r="C23" s="10">
        <f>B23*2.8/100</f>
        <v>0.33599999999999997</v>
      </c>
      <c r="D23" s="10">
        <f>B23*15/100</f>
        <v>1.8</v>
      </c>
      <c r="E23" s="10">
        <f>B23*3.2/100</f>
        <v>0.38400000000000006</v>
      </c>
      <c r="F23" s="10">
        <f>B23*206/100</f>
        <v>24.72</v>
      </c>
      <c r="G23" s="7"/>
      <c r="H23" s="7"/>
      <c r="I23" s="1"/>
    </row>
    <row r="24" spans="1:9">
      <c r="A24" s="1" t="s">
        <v>41</v>
      </c>
      <c r="B24" s="8">
        <v>40</v>
      </c>
      <c r="C24" s="10">
        <f>B24*18.6/100</f>
        <v>7.44</v>
      </c>
      <c r="D24" s="10">
        <f>B24*16/100</f>
        <v>6.4</v>
      </c>
      <c r="E24" s="10">
        <f>B24*0/100</f>
        <v>0</v>
      </c>
      <c r="F24" s="10">
        <f>B24*218/100</f>
        <v>87.2</v>
      </c>
      <c r="G24" s="7"/>
      <c r="H24" s="7"/>
      <c r="I24" s="1"/>
    </row>
    <row r="25" spans="1:9">
      <c r="A25" s="1" t="s">
        <v>15</v>
      </c>
      <c r="B25" s="8">
        <v>40</v>
      </c>
      <c r="C25" s="10">
        <f>B25*2/100</f>
        <v>0.8</v>
      </c>
      <c r="D25" s="10">
        <f>B25*0.4/100</f>
        <v>0.16</v>
      </c>
      <c r="E25" s="10">
        <f>B25*17.3/100</f>
        <v>6.92</v>
      </c>
      <c r="F25" s="10">
        <f>B25*80/100</f>
        <v>32</v>
      </c>
      <c r="G25" s="7"/>
      <c r="H25" s="7"/>
      <c r="I25" s="1"/>
    </row>
    <row r="26" spans="1:9">
      <c r="A26" s="1" t="s">
        <v>20</v>
      </c>
      <c r="B26" s="8">
        <v>11</v>
      </c>
      <c r="C26" s="10">
        <f>B26*1.4/100</f>
        <v>0.154</v>
      </c>
      <c r="D26" s="10">
        <f>B26*0/100</f>
        <v>0</v>
      </c>
      <c r="E26" s="10">
        <f>B26*9.1/100</f>
        <v>1.0009999999999999</v>
      </c>
      <c r="F26" s="10">
        <f>B26*41/100</f>
        <v>4.51</v>
      </c>
      <c r="G26" s="7"/>
      <c r="H26" s="7"/>
      <c r="I26" s="1"/>
    </row>
    <row r="27" spans="1:9">
      <c r="A27" s="1" t="s">
        <v>16</v>
      </c>
      <c r="B27" s="8">
        <v>11</v>
      </c>
      <c r="C27" s="10">
        <f>B27*1.3/100</f>
        <v>0.14300000000000002</v>
      </c>
      <c r="D27" s="10">
        <f>B27*0.1/100</f>
        <v>1.1000000000000001E-2</v>
      </c>
      <c r="E27" s="10">
        <f>B27*8.4/100</f>
        <v>0.92400000000000004</v>
      </c>
      <c r="F27" s="10">
        <f>B27*34/100</f>
        <v>3.74</v>
      </c>
      <c r="G27" s="7"/>
      <c r="H27" s="7"/>
      <c r="I27" s="1"/>
    </row>
    <row r="28" spans="1:9">
      <c r="A28" s="1" t="s">
        <v>28</v>
      </c>
      <c r="B28" s="8">
        <v>3</v>
      </c>
      <c r="C28" s="10">
        <f>B28*4.8/100</f>
        <v>0.14399999999999999</v>
      </c>
      <c r="D28" s="10">
        <f>B28*0/100</f>
        <v>0</v>
      </c>
      <c r="E28" s="10">
        <f>B28*19/100</f>
        <v>0.56999999999999995</v>
      </c>
      <c r="F28" s="10">
        <f>B28*99/100</f>
        <v>2.97</v>
      </c>
      <c r="G28" s="7"/>
      <c r="H28" s="7"/>
      <c r="I28" s="1"/>
    </row>
    <row r="29" spans="1:9">
      <c r="A29" s="1" t="s">
        <v>120</v>
      </c>
      <c r="B29" s="8">
        <v>25</v>
      </c>
      <c r="C29" s="10">
        <f>B29*0.8/100</f>
        <v>0.2</v>
      </c>
      <c r="D29" s="10">
        <f t="shared" ref="D29" si="1">B29*0.1/100</f>
        <v>2.5000000000000001E-2</v>
      </c>
      <c r="E29" s="10">
        <f>B29*3.4/100</f>
        <v>0.85</v>
      </c>
      <c r="F29" s="10">
        <f>B29*14/100</f>
        <v>3.5</v>
      </c>
      <c r="G29" s="7"/>
      <c r="H29" s="7"/>
      <c r="I29" s="1"/>
    </row>
    <row r="30" spans="1:9">
      <c r="A30" s="1" t="s">
        <v>8</v>
      </c>
      <c r="B30" s="7">
        <v>3</v>
      </c>
      <c r="C30" s="10">
        <f>B30*0.7/100</f>
        <v>2.0999999999999998E-2</v>
      </c>
      <c r="D30" s="10">
        <f>B30*72.5/100</f>
        <v>2.1749999999999998</v>
      </c>
      <c r="E30" s="10">
        <f>B30*1/100</f>
        <v>0.03</v>
      </c>
      <c r="F30" s="10">
        <f>B30*709/100</f>
        <v>21.27</v>
      </c>
      <c r="G30" s="7"/>
      <c r="H30" s="7"/>
      <c r="I30" s="1"/>
    </row>
    <row r="31" spans="1:9">
      <c r="A31" s="2" t="s">
        <v>14</v>
      </c>
      <c r="B31" s="5"/>
      <c r="C31" s="5">
        <f>(C22+C23+C24+C25+C26+C27+C28+C29+C30)</f>
        <v>9.6580000000000013</v>
      </c>
      <c r="D31" s="5">
        <f>(D22+D23+D24+D25+D26+D27+D28+D29+D30)</f>
        <v>10.631</v>
      </c>
      <c r="E31" s="5">
        <f>(E22+E23+E24+E25+E26+E27+E28+E29+E30)</f>
        <v>14.962999999999999</v>
      </c>
      <c r="F31" s="5">
        <f>(F22+F23+F24+F25+F26+F27+F28+F29+F30)</f>
        <v>199.65</v>
      </c>
      <c r="G31" s="5" t="s">
        <v>339</v>
      </c>
      <c r="H31" s="5"/>
      <c r="I31" s="1" t="s">
        <v>243</v>
      </c>
    </row>
    <row r="32" spans="1:9">
      <c r="A32" s="2" t="s">
        <v>303</v>
      </c>
      <c r="B32" s="7"/>
      <c r="C32" s="10"/>
      <c r="D32" s="10"/>
      <c r="E32" s="10"/>
      <c r="F32" s="10"/>
      <c r="G32" s="7"/>
      <c r="H32" s="7"/>
      <c r="I32" s="1"/>
    </row>
    <row r="33" spans="1:9">
      <c r="A33" s="1" t="s">
        <v>304</v>
      </c>
      <c r="B33" s="8">
        <v>110</v>
      </c>
      <c r="C33" s="7">
        <f>B33*16/100</f>
        <v>17.600000000000001</v>
      </c>
      <c r="D33" s="7">
        <f>B33*0.6/100</f>
        <v>0.66</v>
      </c>
      <c r="E33" s="7">
        <v>0</v>
      </c>
      <c r="F33" s="7">
        <f>B33*69/100</f>
        <v>75.900000000000006</v>
      </c>
      <c r="G33" s="5"/>
      <c r="H33" s="5"/>
      <c r="I33" s="1" t="s">
        <v>305</v>
      </c>
    </row>
    <row r="34" spans="1:9">
      <c r="A34" s="1" t="s">
        <v>20</v>
      </c>
      <c r="B34" s="8">
        <v>11</v>
      </c>
      <c r="C34" s="10">
        <f>B34*1.4/100</f>
        <v>0.154</v>
      </c>
      <c r="D34" s="10">
        <f>B34*0/100</f>
        <v>0</v>
      </c>
      <c r="E34" s="10">
        <f>B34*9.1/100</f>
        <v>1.0009999999999999</v>
      </c>
      <c r="F34" s="10">
        <f>B34*41/100</f>
        <v>4.51</v>
      </c>
      <c r="G34" s="5"/>
      <c r="H34" s="5"/>
      <c r="I34" s="1"/>
    </row>
    <row r="35" spans="1:9">
      <c r="A35" s="1" t="s">
        <v>21</v>
      </c>
      <c r="B35" s="8">
        <v>4</v>
      </c>
      <c r="C35" s="10">
        <f>B35*12.7/100</f>
        <v>0.50800000000000001</v>
      </c>
      <c r="D35" s="10">
        <f>B35*11.5/100</f>
        <v>0.46</v>
      </c>
      <c r="E35" s="10">
        <f>B35*0.7/100</f>
        <v>2.7999999999999997E-2</v>
      </c>
      <c r="F35" s="10">
        <f>B35*157/100</f>
        <v>6.28</v>
      </c>
      <c r="G35" s="5"/>
      <c r="H35" s="5"/>
      <c r="I35" s="1"/>
    </row>
    <row r="36" spans="1:9">
      <c r="A36" s="1" t="s">
        <v>12</v>
      </c>
      <c r="B36" s="8">
        <v>8</v>
      </c>
      <c r="C36" s="10">
        <f>B36*7.7/100</f>
        <v>0.61599999999999999</v>
      </c>
      <c r="D36" s="10">
        <f>B36*3/100</f>
        <v>0.24</v>
      </c>
      <c r="E36" s="10">
        <f>B36*49.8/100</f>
        <v>3.984</v>
      </c>
      <c r="F36" s="10">
        <f>B36*262/100</f>
        <v>20.96</v>
      </c>
      <c r="G36" s="5"/>
      <c r="H36" s="5"/>
      <c r="I36" s="1"/>
    </row>
    <row r="37" spans="1:9">
      <c r="A37" s="1" t="s">
        <v>57</v>
      </c>
      <c r="B37" s="8">
        <v>3</v>
      </c>
      <c r="C37" s="10">
        <f>B37*0/100</f>
        <v>0</v>
      </c>
      <c r="D37" s="10">
        <f t="shared" ref="D37" si="2">B37*8.5/100</f>
        <v>0.255</v>
      </c>
      <c r="E37" s="10">
        <f>B37*0/100</f>
        <v>0</v>
      </c>
      <c r="F37" s="10">
        <f>B37*899/100</f>
        <v>26.97</v>
      </c>
      <c r="G37" s="5"/>
      <c r="H37" s="5"/>
      <c r="I37" s="1"/>
    </row>
    <row r="38" spans="1:9">
      <c r="A38" s="2" t="s">
        <v>14</v>
      </c>
      <c r="B38" s="5"/>
      <c r="C38" s="5">
        <f>C33+C34+C35+C36+C37</f>
        <v>18.878</v>
      </c>
      <c r="D38" s="5">
        <f>D33+D34+D35+D36+D37</f>
        <v>1.6150000000000002</v>
      </c>
      <c r="E38" s="5">
        <f>E34+E35+E36+E37</f>
        <v>5.0129999999999999</v>
      </c>
      <c r="F38" s="5">
        <f>F33+F34+F35+F36+F37</f>
        <v>134.62</v>
      </c>
      <c r="G38" s="5">
        <v>100</v>
      </c>
      <c r="H38" s="5"/>
      <c r="I38" s="1" t="s">
        <v>342</v>
      </c>
    </row>
    <row r="39" spans="1:9">
      <c r="A39" s="2" t="s">
        <v>306</v>
      </c>
      <c r="B39" s="5"/>
      <c r="C39" s="5"/>
      <c r="D39" s="5"/>
      <c r="E39" s="5"/>
      <c r="F39" s="5"/>
      <c r="G39" s="5"/>
      <c r="H39" s="5"/>
      <c r="I39" s="1"/>
    </row>
    <row r="40" spans="1:9">
      <c r="A40" s="1" t="s">
        <v>15</v>
      </c>
      <c r="B40" s="8">
        <v>60</v>
      </c>
      <c r="C40" s="7">
        <f>B40*2/100</f>
        <v>1.2</v>
      </c>
      <c r="D40" s="7">
        <f>B40*0.4/100</f>
        <v>0.24</v>
      </c>
      <c r="E40" s="7">
        <f>B40*17.3/100</f>
        <v>10.38</v>
      </c>
      <c r="F40" s="7">
        <f>B40*80/100</f>
        <v>48</v>
      </c>
      <c r="G40" s="7"/>
      <c r="H40" s="7"/>
      <c r="I40" s="1"/>
    </row>
    <row r="41" spans="1:9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7"/>
      <c r="I41" s="1"/>
    </row>
    <row r="42" spans="1:9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7"/>
      <c r="I42" s="1"/>
    </row>
    <row r="43" spans="1:9">
      <c r="A43" s="1" t="s">
        <v>28</v>
      </c>
      <c r="B43" s="8">
        <v>4</v>
      </c>
      <c r="C43" s="7">
        <f>B43*4.8/100</f>
        <v>0.192</v>
      </c>
      <c r="D43" s="7">
        <f t="shared" ref="D43" si="3">B43*3.3/100</f>
        <v>0.13200000000000001</v>
      </c>
      <c r="E43" s="7">
        <f t="shared" ref="E43" si="4">B43*62.1/100</f>
        <v>2.484</v>
      </c>
      <c r="F43" s="7">
        <f>B43*99/100</f>
        <v>3.96</v>
      </c>
      <c r="G43" s="7"/>
      <c r="H43" s="7"/>
      <c r="I43" s="1"/>
    </row>
    <row r="44" spans="1:9">
      <c r="A44" s="1" t="s">
        <v>8</v>
      </c>
      <c r="B44" s="8">
        <v>2</v>
      </c>
      <c r="C44" s="7">
        <f>B44*0.7/100</f>
        <v>1.3999999999999999E-2</v>
      </c>
      <c r="D44" s="7">
        <f>B44*72.5/100</f>
        <v>1.45</v>
      </c>
      <c r="E44" s="7">
        <f>B44*1/100</f>
        <v>0.02</v>
      </c>
      <c r="F44" s="7">
        <f>B44*709/100</f>
        <v>14.18</v>
      </c>
      <c r="G44" s="5">
        <v>60</v>
      </c>
      <c r="H44" s="5"/>
      <c r="I44" s="1" t="s">
        <v>307</v>
      </c>
    </row>
    <row r="45" spans="1:9">
      <c r="A45" s="2" t="s">
        <v>14</v>
      </c>
      <c r="B45" s="5"/>
      <c r="C45" s="5">
        <f>C40+C41+C42+C43+C44</f>
        <v>1.7029999999999998</v>
      </c>
      <c r="D45" s="5">
        <f>D40+D41+D42+D43+D44</f>
        <v>1.833</v>
      </c>
      <c r="E45" s="5">
        <f>E40+E41+E42+E43+E44</f>
        <v>14.808999999999999</v>
      </c>
      <c r="F45" s="5">
        <f>F40+F41+F42+F43+F44</f>
        <v>74.39</v>
      </c>
      <c r="G45" s="7"/>
      <c r="H45" s="7"/>
      <c r="I45" s="1"/>
    </row>
    <row r="46" spans="1:9">
      <c r="A46" s="2" t="s">
        <v>326</v>
      </c>
      <c r="B46" s="5"/>
      <c r="C46" s="5"/>
      <c r="D46" s="5"/>
      <c r="E46" s="5"/>
      <c r="F46" s="5"/>
      <c r="G46" s="5"/>
      <c r="H46" s="5"/>
      <c r="I46" s="1"/>
    </row>
    <row r="47" spans="1:9">
      <c r="A47" s="3" t="s">
        <v>264</v>
      </c>
      <c r="B47" s="5">
        <v>30</v>
      </c>
      <c r="C47" s="10">
        <f>B47*0.8/100</f>
        <v>0.24</v>
      </c>
      <c r="D47" s="10">
        <f>B47*0.1/100</f>
        <v>0.03</v>
      </c>
      <c r="E47" s="10">
        <f>B47*3.4/100</f>
        <v>1.02</v>
      </c>
      <c r="F47" s="10">
        <f>B47*14/100</f>
        <v>4.2</v>
      </c>
      <c r="G47" s="5"/>
      <c r="H47" s="5"/>
      <c r="I47" s="1"/>
    </row>
    <row r="48" spans="1:9">
      <c r="A48" s="3" t="s">
        <v>327</v>
      </c>
      <c r="B48" s="8">
        <v>5</v>
      </c>
      <c r="C48" s="10">
        <f>B48*0/100</f>
        <v>0</v>
      </c>
      <c r="D48" s="10">
        <f t="shared" ref="D48" si="5">B48*8.5/100</f>
        <v>0.42499999999999999</v>
      </c>
      <c r="E48" s="10">
        <f>B48*0/100</f>
        <v>0</v>
      </c>
      <c r="F48" s="10">
        <f>B48*899/100</f>
        <v>44.95</v>
      </c>
      <c r="G48" s="5"/>
      <c r="H48" s="5"/>
      <c r="I48" s="1"/>
    </row>
    <row r="49" spans="1:9">
      <c r="A49" s="3" t="s">
        <v>325</v>
      </c>
      <c r="B49" s="9">
        <v>30</v>
      </c>
      <c r="C49" s="27">
        <f>B49*1.1/100</f>
        <v>0.33</v>
      </c>
      <c r="D49" s="10">
        <f>B49*0.2/100</f>
        <v>0.06</v>
      </c>
      <c r="E49" s="10">
        <f>B49*3.8/100</f>
        <v>1.1399999999999999</v>
      </c>
      <c r="F49" s="10">
        <f>B49*23/100</f>
        <v>6.9</v>
      </c>
      <c r="G49" s="5">
        <v>65</v>
      </c>
      <c r="H49" s="5"/>
      <c r="I49" s="1" t="s">
        <v>215</v>
      </c>
    </row>
    <row r="50" spans="1:9">
      <c r="A50" s="2" t="s">
        <v>14</v>
      </c>
      <c r="B50" s="5"/>
      <c r="C50" s="13">
        <f>C47+C48+C49</f>
        <v>0.57000000000000006</v>
      </c>
      <c r="D50" s="5">
        <f>D47+D48+D49</f>
        <v>0.5149999999999999</v>
      </c>
      <c r="E50" s="5">
        <f>E47+E48+E49</f>
        <v>2.16</v>
      </c>
      <c r="F50" s="5">
        <f>F47+F48+F49</f>
        <v>56.050000000000004</v>
      </c>
      <c r="G50" s="5"/>
      <c r="H50" s="5"/>
      <c r="I50" s="1"/>
    </row>
    <row r="51" spans="1:9">
      <c r="A51" s="2" t="s">
        <v>244</v>
      </c>
      <c r="B51" s="7"/>
      <c r="C51" s="10"/>
      <c r="D51" s="10"/>
      <c r="E51" s="10"/>
      <c r="F51" s="10"/>
      <c r="G51" s="7"/>
      <c r="H51" s="7"/>
      <c r="I51" s="1"/>
    </row>
    <row r="52" spans="1:9">
      <c r="A52" s="1" t="s">
        <v>245</v>
      </c>
      <c r="B52" s="8">
        <v>7</v>
      </c>
      <c r="C52" s="10">
        <f>B52*0.9/100</f>
        <v>6.3E-2</v>
      </c>
      <c r="D52" s="10">
        <f>B52*0.1/100</f>
        <v>7.000000000000001E-3</v>
      </c>
      <c r="E52" s="10">
        <f>B52*3/100</f>
        <v>0.21</v>
      </c>
      <c r="F52" s="10">
        <f>B52*33/100</f>
        <v>2.31</v>
      </c>
      <c r="G52" s="7"/>
      <c r="H52" s="7"/>
      <c r="I52" s="1"/>
    </row>
    <row r="53" spans="1:9">
      <c r="A53" s="1" t="s">
        <v>9</v>
      </c>
      <c r="B53" s="8">
        <v>7</v>
      </c>
      <c r="C53" s="11">
        <f>B53*0/100</f>
        <v>0</v>
      </c>
      <c r="D53" s="10">
        <f>B53*0/100</f>
        <v>0</v>
      </c>
      <c r="E53" s="10">
        <f>B53*99.8/100</f>
        <v>6.9860000000000007</v>
      </c>
      <c r="F53" s="10">
        <f>B53*379/100</f>
        <v>26.53</v>
      </c>
      <c r="G53" s="7"/>
      <c r="H53" s="7"/>
      <c r="I53" s="1"/>
    </row>
    <row r="54" spans="1:9">
      <c r="A54" s="2" t="s">
        <v>14</v>
      </c>
      <c r="B54" s="5"/>
      <c r="C54" s="5">
        <f>C51+C52+C53</f>
        <v>6.3E-2</v>
      </c>
      <c r="D54" s="5">
        <f>D51+D52+D53</f>
        <v>7.000000000000001E-3</v>
      </c>
      <c r="E54" s="5">
        <f>E52+E53</f>
        <v>7.1960000000000006</v>
      </c>
      <c r="F54" s="5">
        <f>F52+F53</f>
        <v>28.84</v>
      </c>
      <c r="G54" s="5">
        <v>150</v>
      </c>
      <c r="H54" s="5"/>
      <c r="I54" s="1" t="s">
        <v>246</v>
      </c>
    </row>
    <row r="55" spans="1:9">
      <c r="A55" s="1" t="s">
        <v>32</v>
      </c>
      <c r="B55" s="8">
        <v>34</v>
      </c>
      <c r="C55" s="5">
        <f>B55*6.6/100</f>
        <v>2.2439999999999998</v>
      </c>
      <c r="D55" s="5">
        <f>B55*1.2/100</f>
        <v>0.40799999999999997</v>
      </c>
      <c r="E55" s="5">
        <f>B55*34.2/100</f>
        <v>11.628000000000002</v>
      </c>
      <c r="F55" s="5">
        <f>B55*181/100</f>
        <v>61.54</v>
      </c>
      <c r="G55" s="5">
        <v>34</v>
      </c>
      <c r="H55" s="5"/>
      <c r="I55" s="1"/>
    </row>
    <row r="56" spans="1:9">
      <c r="A56" s="2" t="s">
        <v>141</v>
      </c>
      <c r="B56" s="5"/>
      <c r="C56" s="13">
        <f>C31+C38+C45+C50+C54+C55</f>
        <v>33.116</v>
      </c>
      <c r="D56" s="5">
        <f>D31+D38+D45+D50+D54+D55</f>
        <v>15.009</v>
      </c>
      <c r="E56" s="5">
        <f>E31+E38+E45+E50+E54+E55</f>
        <v>55.768999999999991</v>
      </c>
      <c r="F56" s="5">
        <f>F31+F38+F45+F50+F54+F55</f>
        <v>555.08999999999992</v>
      </c>
      <c r="G56" s="5">
        <v>571</v>
      </c>
      <c r="H56" s="5"/>
      <c r="I56" s="1"/>
    </row>
    <row r="57" spans="1:9">
      <c r="A57" s="1" t="s">
        <v>196</v>
      </c>
      <c r="B57" s="7">
        <v>2.5499999999999998</v>
      </c>
      <c r="C57" s="10"/>
      <c r="D57" s="10"/>
      <c r="E57" s="10"/>
      <c r="F57" s="10"/>
      <c r="G57" s="7"/>
      <c r="H57" s="7"/>
      <c r="I57" s="1"/>
    </row>
    <row r="58" spans="1:9" ht="20.25" customHeight="1">
      <c r="A58" s="14" t="s">
        <v>276</v>
      </c>
      <c r="B58" s="16"/>
      <c r="C58" s="16"/>
      <c r="D58" s="16"/>
      <c r="E58" s="16"/>
      <c r="F58" s="16"/>
      <c r="G58" s="5"/>
      <c r="H58" s="5"/>
      <c r="I58" s="1"/>
    </row>
    <row r="59" spans="1:9">
      <c r="A59" s="1" t="s">
        <v>254</v>
      </c>
      <c r="B59" s="10">
        <v>180</v>
      </c>
      <c r="C59" s="10">
        <f>B59*0.5/100</f>
        <v>0.9</v>
      </c>
      <c r="D59" s="10">
        <f>B59*0/100</f>
        <v>0</v>
      </c>
      <c r="E59" s="10">
        <f>B59*9.1/100</f>
        <v>16.38</v>
      </c>
      <c r="F59" s="10">
        <f>B59*38/100</f>
        <v>68.400000000000006</v>
      </c>
      <c r="G59" s="5">
        <v>180</v>
      </c>
      <c r="H59" s="5"/>
      <c r="I59" s="1" t="s">
        <v>210</v>
      </c>
    </row>
    <row r="60" spans="1:9">
      <c r="A60" s="1"/>
      <c r="B60" s="10"/>
      <c r="C60" s="10"/>
      <c r="D60" s="10"/>
      <c r="E60" s="10"/>
      <c r="F60" s="10"/>
      <c r="G60" s="7"/>
      <c r="H60" s="7"/>
      <c r="I60" s="1"/>
    </row>
    <row r="61" spans="1:9">
      <c r="A61" s="1" t="s">
        <v>338</v>
      </c>
      <c r="B61" s="10">
        <v>50</v>
      </c>
      <c r="C61" s="10">
        <f>B61*10.4/100</f>
        <v>5.2</v>
      </c>
      <c r="D61" s="10">
        <f>B61*5.2/100</f>
        <v>2.6</v>
      </c>
      <c r="E61" s="10">
        <f>B61*76.8/100</f>
        <v>38.4</v>
      </c>
      <c r="F61" s="10">
        <f>B61*458/100</f>
        <v>229</v>
      </c>
      <c r="G61" s="5">
        <v>50</v>
      </c>
      <c r="H61" s="7"/>
      <c r="I61" s="1"/>
    </row>
    <row r="62" spans="1:9">
      <c r="A62" s="2" t="s">
        <v>282</v>
      </c>
      <c r="B62" s="7"/>
      <c r="C62" s="5">
        <f>C59+C61</f>
        <v>6.1000000000000005</v>
      </c>
      <c r="D62" s="5">
        <f>D59+D61</f>
        <v>2.6</v>
      </c>
      <c r="E62" s="5">
        <f>E59+E61</f>
        <v>54.78</v>
      </c>
      <c r="F62" s="5">
        <f>F59+F61</f>
        <v>297.39999999999998</v>
      </c>
      <c r="G62" s="7"/>
      <c r="H62" s="7"/>
      <c r="I62" s="1"/>
    </row>
    <row r="63" spans="1:9">
      <c r="A63" s="1"/>
      <c r="B63" s="7"/>
      <c r="C63" s="10"/>
      <c r="D63" s="10"/>
      <c r="E63" s="10"/>
      <c r="F63" s="10"/>
      <c r="G63" s="7"/>
      <c r="H63" s="7"/>
      <c r="I63" s="1"/>
    </row>
    <row r="64" spans="1:9">
      <c r="A64" s="1" t="s">
        <v>280</v>
      </c>
      <c r="B64" s="5"/>
      <c r="C64" s="5">
        <f>C17+C19+C56+C62</f>
        <v>59.967000000000006</v>
      </c>
      <c r="D64" s="5">
        <f>D17+D19+D56+D62</f>
        <v>39.278999999999996</v>
      </c>
      <c r="E64" s="5">
        <f>E17+E19+E56+E62</f>
        <v>198.95</v>
      </c>
      <c r="F64" s="5">
        <f>F17+F19+F56+F62</f>
        <v>1496.23</v>
      </c>
      <c r="G64" s="5">
        <v>230</v>
      </c>
      <c r="H64" s="7"/>
      <c r="I64" s="1"/>
    </row>
    <row r="65" spans="1:9">
      <c r="A65" s="1"/>
      <c r="B65" s="7"/>
      <c r="C65" s="10"/>
      <c r="D65" s="10"/>
      <c r="E65" s="10"/>
      <c r="F65" s="10"/>
      <c r="G65" s="7"/>
      <c r="H65" s="7"/>
      <c r="I65" s="1"/>
    </row>
    <row r="66" spans="1:9">
      <c r="A66" s="1"/>
      <c r="B66" s="7"/>
      <c r="C66" s="10"/>
      <c r="D66" s="10"/>
      <c r="E66" s="10"/>
      <c r="F66" s="10"/>
      <c r="G66" s="7"/>
      <c r="H66" s="7"/>
      <c r="I66" s="1"/>
    </row>
    <row r="67" spans="1:9">
      <c r="A67" s="1" t="s">
        <v>296</v>
      </c>
      <c r="B67" s="7"/>
      <c r="C67" s="10"/>
      <c r="D67" s="10"/>
      <c r="E67" s="10"/>
      <c r="F67" s="10"/>
      <c r="G67" s="7"/>
      <c r="H67" s="7"/>
      <c r="I67" s="1"/>
    </row>
    <row r="68" spans="1:9">
      <c r="A68" s="1"/>
      <c r="B68" s="7"/>
      <c r="C68" s="10"/>
      <c r="D68" s="10"/>
      <c r="E68" s="10"/>
      <c r="F68" s="10"/>
      <c r="G68" s="7"/>
      <c r="H68" s="7"/>
      <c r="I68" s="1"/>
    </row>
    <row r="69" spans="1:9">
      <c r="A69" s="1"/>
      <c r="B69" s="7"/>
      <c r="C69" s="10"/>
      <c r="D69" s="10"/>
      <c r="E69" s="10"/>
      <c r="F69" s="10"/>
      <c r="G69" s="7"/>
      <c r="H69" s="7"/>
      <c r="I69" s="1"/>
    </row>
    <row r="70" spans="1:9">
      <c r="A70" s="1"/>
      <c r="B70" s="7"/>
      <c r="C70" s="10"/>
      <c r="D70" s="10"/>
      <c r="E70" s="10"/>
      <c r="F70" s="10"/>
      <c r="G70" s="7"/>
      <c r="H70" s="7"/>
      <c r="I70" s="1"/>
    </row>
    <row r="71" spans="1:9">
      <c r="A71" s="1"/>
      <c r="B71" s="7"/>
      <c r="C71" s="10"/>
      <c r="D71" s="10"/>
      <c r="E71" s="10"/>
      <c r="F71" s="10"/>
      <c r="G71" s="7"/>
      <c r="H71" s="7"/>
      <c r="I71" s="1"/>
    </row>
    <row r="72" spans="1:9">
      <c r="A72" s="1"/>
      <c r="B72" s="7"/>
      <c r="C72" s="10"/>
      <c r="D72" s="10"/>
      <c r="E72" s="10"/>
      <c r="F72" s="10"/>
      <c r="G72" s="7"/>
      <c r="H72" s="7"/>
      <c r="I72" s="1"/>
    </row>
    <row r="73" spans="1:9">
      <c r="A73" s="1"/>
      <c r="B73" s="7"/>
      <c r="C73" s="10"/>
      <c r="D73" s="10"/>
      <c r="E73" s="10"/>
      <c r="F73" s="10"/>
      <c r="G73" s="7"/>
      <c r="H73" s="7"/>
      <c r="I73" s="1"/>
    </row>
    <row r="74" spans="1:9">
      <c r="A74" s="1"/>
      <c r="B74" s="7"/>
      <c r="C74" s="10"/>
      <c r="D74" s="10"/>
      <c r="E74" s="10"/>
      <c r="F74" s="10"/>
      <c r="G74" s="7"/>
      <c r="H74" s="7"/>
      <c r="I74" s="1"/>
    </row>
    <row r="75" spans="1:9">
      <c r="A75" s="1"/>
      <c r="B75" s="7"/>
      <c r="C75" s="10"/>
      <c r="D75" s="10"/>
      <c r="E75" s="10"/>
      <c r="F75" s="10"/>
      <c r="G75" s="7"/>
      <c r="H75" s="7"/>
      <c r="I75" s="1"/>
    </row>
    <row r="76" spans="1:9">
      <c r="A76" s="1"/>
      <c r="B76" s="7"/>
      <c r="C76" s="10"/>
      <c r="D76" s="10"/>
      <c r="E76" s="10"/>
      <c r="F76" s="10"/>
      <c r="G76" s="7"/>
      <c r="H76" s="7"/>
      <c r="I76" s="1"/>
    </row>
    <row r="77" spans="1:9">
      <c r="A77" s="1"/>
      <c r="B77" s="7"/>
      <c r="C77" s="10"/>
      <c r="D77" s="10"/>
      <c r="E77" s="10"/>
      <c r="F77" s="10"/>
      <c r="G77" s="7"/>
      <c r="H77" s="7"/>
      <c r="I77" s="1"/>
    </row>
    <row r="78" spans="1:9">
      <c r="A78" s="1"/>
      <c r="B78" s="7"/>
      <c r="C78" s="10"/>
      <c r="D78" s="10"/>
      <c r="E78" s="10"/>
      <c r="F78" s="10"/>
      <c r="G78" s="7"/>
      <c r="H78" s="7"/>
      <c r="I78" s="1"/>
    </row>
    <row r="79" spans="1:9">
      <c r="A79" s="1"/>
      <c r="B79" s="7"/>
      <c r="C79" s="10"/>
      <c r="D79" s="10"/>
      <c r="E79" s="10"/>
      <c r="F79" s="10"/>
      <c r="G79" s="7"/>
      <c r="H79" s="7"/>
      <c r="I79" s="1"/>
    </row>
    <row r="80" spans="1:9">
      <c r="A80" s="1"/>
      <c r="B80" s="7"/>
      <c r="C80" s="10"/>
      <c r="D80" s="10"/>
      <c r="E80" s="10"/>
      <c r="F80" s="10"/>
      <c r="G80" s="7"/>
      <c r="H80" s="7"/>
      <c r="I80" s="1"/>
    </row>
    <row r="81" spans="1:9">
      <c r="A81" s="1"/>
      <c r="B81" s="7"/>
      <c r="C81" s="10"/>
      <c r="D81" s="10"/>
      <c r="E81" s="10"/>
      <c r="F81" s="10"/>
      <c r="G81" s="7"/>
      <c r="H81" s="7"/>
      <c r="I81" s="1"/>
    </row>
    <row r="82" spans="1:9">
      <c r="A82" s="1"/>
      <c r="B82" s="7"/>
      <c r="C82" s="10"/>
      <c r="D82" s="10"/>
      <c r="E82" s="10"/>
      <c r="F82" s="10"/>
      <c r="G82" s="7"/>
      <c r="H82" s="7"/>
      <c r="I82" s="1"/>
    </row>
  </sheetData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5"/>
  <sheetViews>
    <sheetView topLeftCell="A40" workbookViewId="0">
      <selection activeCell="F53" sqref="F53"/>
    </sheetView>
  </sheetViews>
  <sheetFormatPr defaultRowHeight="15"/>
  <cols>
    <col min="1" max="1" width="44.28515625" customWidth="1"/>
    <col min="2" max="2" width="7" customWidth="1"/>
    <col min="7" max="8" width="7.5703125" customWidth="1"/>
    <col min="9" max="9" width="15.7109375" customWidth="1"/>
  </cols>
  <sheetData>
    <row r="1" spans="1:9" ht="24" customHeight="1">
      <c r="A1" s="2" t="s">
        <v>36</v>
      </c>
      <c r="B1" s="7"/>
      <c r="C1" s="10"/>
      <c r="D1" s="10"/>
      <c r="E1" s="10"/>
      <c r="F1" s="10"/>
      <c r="G1" s="7"/>
      <c r="H1" s="7" t="s">
        <v>128</v>
      </c>
      <c r="I1" s="2" t="s">
        <v>197</v>
      </c>
    </row>
    <row r="2" spans="1:9">
      <c r="A2" s="2" t="s">
        <v>302</v>
      </c>
      <c r="B2" s="8"/>
      <c r="C2" s="10"/>
      <c r="D2" s="10"/>
      <c r="E2" s="10"/>
      <c r="F2" s="10"/>
      <c r="G2" s="7"/>
      <c r="H2" s="7"/>
      <c r="I2" s="1"/>
    </row>
    <row r="3" spans="1:9">
      <c r="A3" s="1" t="s">
        <v>322</v>
      </c>
      <c r="B3" s="8">
        <v>20</v>
      </c>
      <c r="C3" s="10">
        <f>B3*10.3/100</f>
        <v>2.06</v>
      </c>
      <c r="D3" s="10">
        <f>B3*1/100</f>
        <v>0.2</v>
      </c>
      <c r="E3" s="10">
        <f>B3*67.9/100</f>
        <v>13.58</v>
      </c>
      <c r="F3" s="10">
        <f>B3*328/100</f>
        <v>65.599999999999994</v>
      </c>
      <c r="G3" s="7"/>
      <c r="H3" s="7"/>
      <c r="I3" s="1"/>
    </row>
    <row r="4" spans="1:9">
      <c r="A4" s="1" t="s">
        <v>7</v>
      </c>
      <c r="B4" s="8">
        <v>130</v>
      </c>
      <c r="C4" s="10">
        <f>B4*2.8/100</f>
        <v>3.64</v>
      </c>
      <c r="D4" s="10">
        <f>B4*3.5/100</f>
        <v>4.55</v>
      </c>
      <c r="E4" s="10">
        <f>B4*4.7/100</f>
        <v>6.11</v>
      </c>
      <c r="F4" s="10">
        <f>B4*61/100</f>
        <v>79.3</v>
      </c>
      <c r="G4" s="7"/>
      <c r="H4" s="7"/>
      <c r="I4" s="1"/>
    </row>
    <row r="5" spans="1:9">
      <c r="A5" s="1" t="s">
        <v>8</v>
      </c>
      <c r="B5" s="8">
        <v>3</v>
      </c>
      <c r="C5" s="10">
        <f>B5*0.7/100</f>
        <v>2.0999999999999998E-2</v>
      </c>
      <c r="D5" s="10">
        <f>B5*72.5/100</f>
        <v>2.1749999999999998</v>
      </c>
      <c r="E5" s="10">
        <f>B5*1/100</f>
        <v>0.03</v>
      </c>
      <c r="F5" s="10">
        <f>B5*709/100</f>
        <v>21.27</v>
      </c>
      <c r="G5" s="5"/>
      <c r="H5" s="5"/>
      <c r="I5" s="1"/>
    </row>
    <row r="6" spans="1:9">
      <c r="A6" s="1" t="s">
        <v>9</v>
      </c>
      <c r="B6" s="8">
        <v>3</v>
      </c>
      <c r="C6" s="10">
        <f>B6*0/100</f>
        <v>0</v>
      </c>
      <c r="D6" s="10">
        <f>B6*0/100</f>
        <v>0</v>
      </c>
      <c r="E6" s="10">
        <f>B6*99.8/100</f>
        <v>2.9939999999999998</v>
      </c>
      <c r="F6" s="10">
        <f t="shared" ref="F6" si="0">B6*379/100</f>
        <v>11.37</v>
      </c>
      <c r="G6" s="5"/>
      <c r="H6" s="5"/>
      <c r="I6" s="1"/>
    </row>
    <row r="7" spans="1:9">
      <c r="A7" s="2" t="s">
        <v>14</v>
      </c>
      <c r="B7" s="5"/>
      <c r="C7" s="5">
        <f>C3+C4+C5+C6</f>
        <v>5.7210000000000001</v>
      </c>
      <c r="D7" s="5">
        <f>D3+D4+D5+D6</f>
        <v>6.9249999999999998</v>
      </c>
      <c r="E7" s="5">
        <f>E3+E4+E5+E6</f>
        <v>22.714000000000002</v>
      </c>
      <c r="F7" s="5">
        <f>F3+F4+F5++F6</f>
        <v>177.54</v>
      </c>
      <c r="G7" s="5">
        <v>150</v>
      </c>
      <c r="H7" s="5"/>
      <c r="I7" s="1" t="s">
        <v>241</v>
      </c>
    </row>
    <row r="8" spans="1:9">
      <c r="A8" s="2" t="s">
        <v>82</v>
      </c>
      <c r="B8" s="7"/>
      <c r="C8" s="10"/>
      <c r="D8" s="10"/>
      <c r="E8" s="10"/>
      <c r="F8" s="10"/>
      <c r="G8" s="7"/>
      <c r="H8" s="7"/>
      <c r="I8" s="1"/>
    </row>
    <row r="9" spans="1:9">
      <c r="A9" s="1" t="s">
        <v>83</v>
      </c>
      <c r="B9" s="8">
        <v>0.4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7"/>
      <c r="H9" s="7"/>
      <c r="I9" s="1"/>
    </row>
    <row r="10" spans="1:9">
      <c r="A10" s="1" t="s">
        <v>9</v>
      </c>
      <c r="B10" s="8">
        <v>6</v>
      </c>
      <c r="C10" s="10">
        <f>B10*0/100</f>
        <v>0</v>
      </c>
      <c r="D10" s="10">
        <f>B10*0/100</f>
        <v>0</v>
      </c>
      <c r="E10" s="10">
        <f>B10*99.8/100</f>
        <v>5.9879999999999995</v>
      </c>
      <c r="F10" s="10">
        <f>B10*379/100</f>
        <v>22.74</v>
      </c>
      <c r="G10" s="7"/>
      <c r="H10" s="7"/>
      <c r="I10" s="1"/>
    </row>
    <row r="11" spans="1:9">
      <c r="A11" s="1" t="s">
        <v>84</v>
      </c>
      <c r="B11" s="8">
        <v>8</v>
      </c>
      <c r="C11" s="10">
        <f>B11*0.9/100</f>
        <v>7.2000000000000008E-2</v>
      </c>
      <c r="D11" s="10">
        <f>B11*0.1/100</f>
        <v>8.0000000000000002E-3</v>
      </c>
      <c r="E11" s="10">
        <f>B11*3/100</f>
        <v>0.24</v>
      </c>
      <c r="F11" s="10">
        <f>B11*33/100</f>
        <v>2.64</v>
      </c>
      <c r="G11" s="7"/>
      <c r="H11" s="7"/>
      <c r="I11" s="1"/>
    </row>
    <row r="12" spans="1:9">
      <c r="A12" s="2" t="s">
        <v>14</v>
      </c>
      <c r="B12" s="5"/>
      <c r="C12" s="5">
        <f>C9+C10+C11</f>
        <v>7.2000000000000008E-2</v>
      </c>
      <c r="D12" s="5">
        <f>D9+D10+D11</f>
        <v>8.0000000000000002E-3</v>
      </c>
      <c r="E12" s="5">
        <f>E9+E10+E11</f>
        <v>6.2279999999999998</v>
      </c>
      <c r="F12" s="5">
        <f>F9+F10+F11</f>
        <v>25.38</v>
      </c>
      <c r="G12" s="5">
        <v>150</v>
      </c>
      <c r="H12" s="5"/>
      <c r="I12" s="1" t="s">
        <v>228</v>
      </c>
    </row>
    <row r="13" spans="1:9">
      <c r="A13" s="1" t="s">
        <v>12</v>
      </c>
      <c r="B13" s="8">
        <v>50</v>
      </c>
      <c r="C13" s="10">
        <f>B13*7.7/100</f>
        <v>3.85</v>
      </c>
      <c r="D13" s="10">
        <f>B13*3/100</f>
        <v>1.5</v>
      </c>
      <c r="E13" s="10">
        <f>B13*49.8/100</f>
        <v>24.9</v>
      </c>
      <c r="F13" s="10">
        <f>B13*262/100</f>
        <v>131</v>
      </c>
      <c r="G13" s="5">
        <v>50</v>
      </c>
      <c r="H13" s="5"/>
      <c r="I13" s="1"/>
    </row>
    <row r="14" spans="1:9">
      <c r="A14" s="1" t="s">
        <v>8</v>
      </c>
      <c r="B14" s="8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>
      <c r="A15" s="2" t="s">
        <v>118</v>
      </c>
      <c r="B15" s="5"/>
      <c r="C15" s="5">
        <f>C7+C12+C13+C14</f>
        <v>9.6780000000000008</v>
      </c>
      <c r="D15" s="5">
        <f>D7+D12+D13+D14</f>
        <v>12.058</v>
      </c>
      <c r="E15" s="5">
        <f>E7+E12+E13+E14</f>
        <v>53.891999999999996</v>
      </c>
      <c r="F15" s="5">
        <f>F7+F10+F11+F12+F13+F14</f>
        <v>394.74999999999994</v>
      </c>
      <c r="G15" s="5">
        <v>355</v>
      </c>
      <c r="H15" s="5"/>
      <c r="I15" s="1"/>
    </row>
    <row r="16" spans="1:9">
      <c r="A16" s="2"/>
      <c r="B16" s="5"/>
      <c r="C16" s="5"/>
      <c r="D16" s="5"/>
      <c r="E16" s="5"/>
      <c r="F16" s="5"/>
      <c r="G16" s="7"/>
      <c r="H16" s="7"/>
      <c r="I16" s="1"/>
    </row>
    <row r="17" spans="1:9" ht="28.5" customHeight="1">
      <c r="A17" s="2" t="s">
        <v>183</v>
      </c>
      <c r="B17" s="5">
        <v>180</v>
      </c>
      <c r="C17" s="5">
        <f>B17*0.5/100</f>
        <v>0.9</v>
      </c>
      <c r="D17" s="5">
        <f>B17*0/100</f>
        <v>0</v>
      </c>
      <c r="E17" s="5">
        <f>B17*9.1/100</f>
        <v>16.38</v>
      </c>
      <c r="F17" s="5">
        <f>B17*38/100</f>
        <v>68.400000000000006</v>
      </c>
      <c r="G17" s="5">
        <v>180</v>
      </c>
      <c r="H17" s="5"/>
      <c r="I17" s="1"/>
    </row>
    <row r="18" spans="1:9" ht="29.25" customHeight="1">
      <c r="A18" s="1" t="s">
        <v>33</v>
      </c>
      <c r="B18" s="7"/>
      <c r="C18" s="10"/>
      <c r="D18" s="10"/>
      <c r="E18" s="10"/>
      <c r="F18" s="10"/>
      <c r="G18" s="5"/>
      <c r="H18" s="5"/>
      <c r="I18" s="1"/>
    </row>
    <row r="19" spans="1:9">
      <c r="A19" s="2" t="s">
        <v>133</v>
      </c>
      <c r="B19" s="7"/>
      <c r="C19" s="10"/>
      <c r="D19" s="10"/>
      <c r="E19" s="10"/>
      <c r="F19" s="10"/>
      <c r="G19" s="7"/>
      <c r="H19" s="7"/>
      <c r="I19" s="1"/>
    </row>
    <row r="20" spans="1:9">
      <c r="A20" s="1" t="s">
        <v>18</v>
      </c>
      <c r="B20" s="7"/>
      <c r="C20" s="10"/>
      <c r="D20" s="10"/>
      <c r="E20" s="10"/>
      <c r="F20" s="10"/>
      <c r="G20" s="7"/>
      <c r="H20" s="7"/>
      <c r="I20" s="1"/>
    </row>
    <row r="21" spans="1:9">
      <c r="A21" s="1" t="s">
        <v>15</v>
      </c>
      <c r="B21" s="8">
        <v>40</v>
      </c>
      <c r="C21" s="10">
        <f>B21*2/100</f>
        <v>0.8</v>
      </c>
      <c r="D21" s="10">
        <f>B21*0.4/100</f>
        <v>0.16</v>
      </c>
      <c r="E21" s="10">
        <f>B21*17.3/100</f>
        <v>6.92</v>
      </c>
      <c r="F21" s="10">
        <f>B21*80/100</f>
        <v>32</v>
      </c>
      <c r="G21" s="7"/>
      <c r="H21" s="7"/>
      <c r="I21" s="1"/>
    </row>
    <row r="22" spans="1:9">
      <c r="A22" s="1" t="s">
        <v>26</v>
      </c>
      <c r="B22" s="8">
        <v>30</v>
      </c>
      <c r="C22" s="10">
        <f>B22*1.8/100</f>
        <v>0.54</v>
      </c>
      <c r="D22" s="10">
        <f>B22*0.1/100</f>
        <v>0.03</v>
      </c>
      <c r="E22" s="10">
        <f>B22*4.7/100</f>
        <v>1.41</v>
      </c>
      <c r="F22" s="10">
        <f>B22*27/100</f>
        <v>8.1</v>
      </c>
      <c r="G22" s="7"/>
      <c r="H22" s="7"/>
      <c r="I22" s="1"/>
    </row>
    <row r="23" spans="1:9">
      <c r="A23" s="1" t="s">
        <v>97</v>
      </c>
      <c r="B23" s="8">
        <v>20</v>
      </c>
      <c r="C23" s="10">
        <f>B23*3.2/100</f>
        <v>0.64</v>
      </c>
      <c r="D23" s="10">
        <f>B23*0.2/100</f>
        <v>0.04</v>
      </c>
      <c r="E23" s="10">
        <f>B23*6.5/100</f>
        <v>1.3</v>
      </c>
      <c r="F23" s="10">
        <f>B23*40/100</f>
        <v>8</v>
      </c>
      <c r="G23" s="7"/>
      <c r="H23" s="7"/>
      <c r="I23" s="1"/>
    </row>
    <row r="24" spans="1:9">
      <c r="A24" s="1" t="s">
        <v>20</v>
      </c>
      <c r="B24" s="8">
        <v>11</v>
      </c>
      <c r="C24" s="10">
        <f>B24*1.4/100</f>
        <v>0.154</v>
      </c>
      <c r="D24" s="10">
        <f>B24*0/100</f>
        <v>0</v>
      </c>
      <c r="E24" s="10">
        <f>B24*9.1/100</f>
        <v>1.0009999999999999</v>
      </c>
      <c r="F24" s="10">
        <f>B24*41/100</f>
        <v>4.51</v>
      </c>
      <c r="G24" s="7"/>
      <c r="H24" s="7"/>
      <c r="I24" s="1"/>
    </row>
    <row r="25" spans="1:9">
      <c r="A25" s="1" t="s">
        <v>16</v>
      </c>
      <c r="B25" s="8">
        <v>11</v>
      </c>
      <c r="C25" s="10">
        <f>B25*1.3/100</f>
        <v>0.14300000000000002</v>
      </c>
      <c r="D25" s="10">
        <f>B25*0.1/100</f>
        <v>1.1000000000000001E-2</v>
      </c>
      <c r="E25" s="10">
        <f>B25*8.4/100</f>
        <v>0.92400000000000004</v>
      </c>
      <c r="F25" s="10">
        <f>B25*34/100</f>
        <v>3.74</v>
      </c>
      <c r="G25" s="7"/>
      <c r="H25" s="7"/>
      <c r="I25" s="1"/>
    </row>
    <row r="26" spans="1:9">
      <c r="A26" s="1" t="s">
        <v>28</v>
      </c>
      <c r="B26" s="8">
        <v>2</v>
      </c>
      <c r="C26" s="10">
        <f>B26*4.8/100</f>
        <v>9.6000000000000002E-2</v>
      </c>
      <c r="D26" s="10">
        <f>B26*0/100</f>
        <v>0</v>
      </c>
      <c r="E26" s="10">
        <f>B26*19/100</f>
        <v>0.38</v>
      </c>
      <c r="F26" s="10">
        <f>B26*99/100</f>
        <v>1.98</v>
      </c>
      <c r="G26" s="7"/>
      <c r="H26" s="7"/>
      <c r="I26" s="1"/>
    </row>
    <row r="27" spans="1:9">
      <c r="A27" s="1" t="s">
        <v>132</v>
      </c>
      <c r="B27" s="8">
        <v>3</v>
      </c>
      <c r="C27" s="10">
        <f>B27*0.7/100</f>
        <v>2.0999999999999998E-2</v>
      </c>
      <c r="D27" s="10">
        <f>B27*72.5/100</f>
        <v>2.1749999999999998</v>
      </c>
      <c r="E27" s="10">
        <f>B27*1/100</f>
        <v>0.03</v>
      </c>
      <c r="F27" s="10">
        <f>B27*709/100</f>
        <v>21.27</v>
      </c>
      <c r="G27" s="7"/>
      <c r="H27" s="7"/>
      <c r="I27" s="1"/>
    </row>
    <row r="28" spans="1:9">
      <c r="A28" s="1" t="s">
        <v>69</v>
      </c>
      <c r="B28" s="8">
        <v>12</v>
      </c>
      <c r="C28" s="10">
        <f>B28*2.8/100</f>
        <v>0.33599999999999997</v>
      </c>
      <c r="D28" s="10">
        <f>B28*15/100</f>
        <v>1.8</v>
      </c>
      <c r="E28" s="10">
        <f>B28*3.2/100</f>
        <v>0.38400000000000006</v>
      </c>
      <c r="F28" s="10">
        <f>B28*206/100</f>
        <v>24.72</v>
      </c>
      <c r="G28" s="7"/>
      <c r="H28" s="7"/>
      <c r="I28" s="1"/>
    </row>
    <row r="29" spans="1:9">
      <c r="A29" s="2" t="s">
        <v>14</v>
      </c>
      <c r="B29" s="5"/>
      <c r="C29" s="5">
        <f>C21+C22+C23+C24+C25+C26+C27+C28</f>
        <v>2.73</v>
      </c>
      <c r="D29" s="5">
        <f>D21+D22+D23+D24+D25+D26+D27+D28</f>
        <v>4.2160000000000002</v>
      </c>
      <c r="E29" s="5">
        <f>E21+E22+E23+E24+E25+E26+E27+E28</f>
        <v>12.349</v>
      </c>
      <c r="F29" s="5">
        <f>F21+F22+F23+F24+F25+F26+F27+F28</f>
        <v>104.32</v>
      </c>
      <c r="G29" s="5" t="s">
        <v>340</v>
      </c>
      <c r="H29" s="5"/>
      <c r="I29" s="1" t="s">
        <v>247</v>
      </c>
    </row>
    <row r="30" spans="1:9">
      <c r="A30" s="2" t="s">
        <v>357</v>
      </c>
      <c r="B30" s="7"/>
      <c r="C30" s="10"/>
      <c r="D30" s="10"/>
      <c r="E30" s="10"/>
      <c r="F30" s="10"/>
      <c r="G30" s="7"/>
      <c r="H30" s="7"/>
      <c r="I30" s="1"/>
    </row>
    <row r="31" spans="1:9">
      <c r="A31" s="25"/>
      <c r="B31" s="7"/>
      <c r="C31" s="10"/>
      <c r="D31" s="10"/>
      <c r="E31" s="10"/>
      <c r="F31" s="10"/>
      <c r="G31" s="7"/>
      <c r="H31" s="7"/>
      <c r="I31" s="1"/>
    </row>
    <row r="32" spans="1:9">
      <c r="A32" s="1" t="s">
        <v>135</v>
      </c>
      <c r="B32" s="8">
        <v>50</v>
      </c>
      <c r="C32" s="7">
        <f>B32*18.2/100</f>
        <v>9.1</v>
      </c>
      <c r="D32" s="7">
        <f>B32*18.4/100</f>
        <v>9.1999999999999993</v>
      </c>
      <c r="E32" s="7">
        <f>B32*0.7/100</f>
        <v>0.35</v>
      </c>
      <c r="F32" s="7">
        <f>B32*241/100</f>
        <v>120.5</v>
      </c>
      <c r="G32" s="7"/>
      <c r="H32" s="7"/>
      <c r="I32" s="1"/>
    </row>
    <row r="33" spans="1:9">
      <c r="A33" s="1" t="s">
        <v>7</v>
      </c>
      <c r="B33" s="8">
        <v>20</v>
      </c>
      <c r="C33" s="10">
        <f>B33*2.8/100</f>
        <v>0.56000000000000005</v>
      </c>
      <c r="D33" s="10">
        <f>B33*3.5/100</f>
        <v>0.7</v>
      </c>
      <c r="E33" s="7">
        <f>B33*4.7/100</f>
        <v>0.94</v>
      </c>
      <c r="F33" s="10">
        <f>B33*61/100</f>
        <v>12.2</v>
      </c>
      <c r="G33" s="7"/>
      <c r="H33" s="7"/>
      <c r="I33" s="1"/>
    </row>
    <row r="34" spans="1:9">
      <c r="A34" s="1" t="s">
        <v>20</v>
      </c>
      <c r="B34" s="8">
        <v>11</v>
      </c>
      <c r="C34" s="10">
        <f>B34*1.4/100</f>
        <v>0.154</v>
      </c>
      <c r="D34" s="10">
        <f>B34*0/100</f>
        <v>0</v>
      </c>
      <c r="E34" s="7">
        <f>B34*9.1/100</f>
        <v>1.0009999999999999</v>
      </c>
      <c r="F34" s="10">
        <f>B34*41/100</f>
        <v>4.51</v>
      </c>
      <c r="G34" s="7"/>
      <c r="H34" s="7"/>
      <c r="I34" s="1"/>
    </row>
    <row r="35" spans="1:9">
      <c r="A35" s="1" t="s">
        <v>16</v>
      </c>
      <c r="B35" s="8">
        <v>11</v>
      </c>
      <c r="C35" s="10">
        <f>B35*1.3/100</f>
        <v>0.14300000000000002</v>
      </c>
      <c r="D35" s="10">
        <f>B35*0.1/100</f>
        <v>1.1000000000000001E-2</v>
      </c>
      <c r="E35" s="7">
        <f>B35*8.4/100</f>
        <v>0.92400000000000004</v>
      </c>
      <c r="F35" s="10">
        <f>B35*34/100</f>
        <v>3.74</v>
      </c>
      <c r="G35" s="7"/>
      <c r="H35" s="7"/>
      <c r="I35" s="1"/>
    </row>
    <row r="36" spans="1:9">
      <c r="A36" s="1" t="s">
        <v>21</v>
      </c>
      <c r="B36" s="8">
        <v>14</v>
      </c>
      <c r="C36" s="10">
        <f>B36*12.7/100</f>
        <v>1.7779999999999998</v>
      </c>
      <c r="D36" s="10">
        <f>B36*11.5/100</f>
        <v>1.61</v>
      </c>
      <c r="E36" s="7">
        <f>B36*0.7/100</f>
        <v>9.799999999999999E-2</v>
      </c>
      <c r="F36" s="10">
        <f>B36*157/100</f>
        <v>21.98</v>
      </c>
      <c r="G36" s="7"/>
      <c r="H36" s="7"/>
      <c r="I36" s="1"/>
    </row>
    <row r="37" spans="1:9">
      <c r="A37" s="1" t="s">
        <v>358</v>
      </c>
      <c r="B37" s="8">
        <v>10</v>
      </c>
      <c r="C37" s="7">
        <f>B37*23/100</f>
        <v>2.2999999999999998</v>
      </c>
      <c r="D37" s="7">
        <f>B37*29/100</f>
        <v>2.9</v>
      </c>
      <c r="E37" s="7">
        <f>B37*0/100</f>
        <v>0</v>
      </c>
      <c r="F37" s="7">
        <f>B37*360/100</f>
        <v>36</v>
      </c>
      <c r="G37" s="5"/>
      <c r="H37" s="5"/>
      <c r="I37" s="1"/>
    </row>
    <row r="38" spans="1:9">
      <c r="A38" s="1" t="s">
        <v>15</v>
      </c>
      <c r="B38" s="8">
        <v>65</v>
      </c>
      <c r="C38" s="10">
        <f>B38*2/100</f>
        <v>1.3</v>
      </c>
      <c r="D38" s="10">
        <f>B38*0.4/100</f>
        <v>0.26</v>
      </c>
      <c r="E38" s="10">
        <f>B38*17.3/100</f>
        <v>11.244999999999999</v>
      </c>
      <c r="F38" s="10">
        <f>B38*80/100</f>
        <v>52</v>
      </c>
      <c r="G38" s="7"/>
      <c r="H38" s="7"/>
      <c r="I38" s="1"/>
    </row>
    <row r="39" spans="1:9">
      <c r="A39" s="1" t="s">
        <v>8</v>
      </c>
      <c r="B39" s="8">
        <v>2</v>
      </c>
      <c r="C39" s="10">
        <f>B39*0.7/100</f>
        <v>1.3999999999999999E-2</v>
      </c>
      <c r="D39" s="10">
        <f t="shared" ref="D39" si="1">B39*72.5/100</f>
        <v>1.45</v>
      </c>
      <c r="E39" s="7">
        <f>B39*1/100</f>
        <v>0.02</v>
      </c>
      <c r="F39" s="10">
        <f>B39*709/100</f>
        <v>14.18</v>
      </c>
      <c r="G39" s="7"/>
      <c r="H39" s="7"/>
      <c r="I39" s="1"/>
    </row>
    <row r="40" spans="1:9">
      <c r="A40" s="1" t="s">
        <v>57</v>
      </c>
      <c r="B40" s="8">
        <v>3</v>
      </c>
      <c r="C40" s="10">
        <f>B40*0/100</f>
        <v>0</v>
      </c>
      <c r="D40" s="10">
        <f>B40*99.9/100</f>
        <v>2.9970000000000003</v>
      </c>
      <c r="E40" s="7">
        <f>B40*0/100</f>
        <v>0</v>
      </c>
      <c r="F40" s="10">
        <f>B40*899/100</f>
        <v>26.97</v>
      </c>
      <c r="G40" s="5">
        <v>165</v>
      </c>
      <c r="H40" s="5"/>
      <c r="I40" s="1" t="s">
        <v>274</v>
      </c>
    </row>
    <row r="41" spans="1:9">
      <c r="A41" s="2" t="s">
        <v>14</v>
      </c>
      <c r="B41" s="5"/>
      <c r="C41" s="5">
        <f>C32+C33+C34+C35+C36+C37+C38+C39+C40</f>
        <v>15.349</v>
      </c>
      <c r="D41" s="5">
        <f>D32+D33+D34+D35+D36+D37+D38+D39+D40</f>
        <v>19.127999999999997</v>
      </c>
      <c r="E41" s="5">
        <f>E33+E34+E35+E36+E37+E38+E39+E40</f>
        <v>14.227999999999998</v>
      </c>
      <c r="F41" s="5">
        <f>F32+F33+F34+F35+F36+F37+F38+F39+F40</f>
        <v>292.07999999999993</v>
      </c>
      <c r="G41" s="7"/>
      <c r="H41" s="7"/>
      <c r="I41" s="1"/>
    </row>
    <row r="42" spans="1:9">
      <c r="A42" s="2" t="s">
        <v>87</v>
      </c>
      <c r="B42" s="7"/>
      <c r="C42" s="10"/>
      <c r="D42" s="10"/>
      <c r="E42" s="10"/>
      <c r="F42" s="10"/>
      <c r="G42" s="7"/>
      <c r="H42" s="7"/>
      <c r="I42" s="1"/>
    </row>
    <row r="43" spans="1:9">
      <c r="A43" s="1" t="s">
        <v>88</v>
      </c>
      <c r="B43" s="8">
        <v>10</v>
      </c>
      <c r="C43" s="10">
        <f>B43*3/100</f>
        <v>0.3</v>
      </c>
      <c r="D43" s="10">
        <f>B43*0/100</f>
        <v>0</v>
      </c>
      <c r="E43" s="10">
        <f>B43*21.5/100</f>
        <v>2.15</v>
      </c>
      <c r="F43" s="10">
        <f>B43*110/100</f>
        <v>11</v>
      </c>
      <c r="G43" s="7"/>
      <c r="H43" s="7"/>
      <c r="I43" s="1"/>
    </row>
    <row r="44" spans="1:9">
      <c r="A44" s="1" t="s">
        <v>9</v>
      </c>
      <c r="B44" s="8">
        <v>6</v>
      </c>
      <c r="C44" s="10">
        <f>B44*0/100</f>
        <v>0</v>
      </c>
      <c r="D44" s="10">
        <f>B44*0/100</f>
        <v>0</v>
      </c>
      <c r="E44" s="10">
        <f>B44*99.8/100</f>
        <v>5.9879999999999995</v>
      </c>
      <c r="F44" s="10">
        <f>B44*379/100</f>
        <v>22.74</v>
      </c>
      <c r="G44" s="7"/>
      <c r="H44" s="7"/>
      <c r="I44" s="1"/>
    </row>
    <row r="45" spans="1:9">
      <c r="A45" s="2" t="s">
        <v>14</v>
      </c>
      <c r="B45" s="5"/>
      <c r="C45" s="5">
        <f>C43+C44</f>
        <v>0.3</v>
      </c>
      <c r="D45" s="5">
        <f t="shared" ref="D45" si="2">B45*0.1/100</f>
        <v>0</v>
      </c>
      <c r="E45" s="5">
        <f>E43+E44</f>
        <v>8.1379999999999999</v>
      </c>
      <c r="F45" s="5">
        <f>F43+F44</f>
        <v>33.739999999999995</v>
      </c>
      <c r="G45" s="5">
        <v>150</v>
      </c>
      <c r="H45" s="5"/>
      <c r="I45" s="1" t="s">
        <v>231</v>
      </c>
    </row>
    <row r="46" spans="1:9">
      <c r="A46" s="2" t="s">
        <v>328</v>
      </c>
      <c r="B46" s="5"/>
      <c r="C46" s="5"/>
      <c r="D46" s="5"/>
      <c r="E46" s="5"/>
      <c r="F46" s="5"/>
      <c r="G46" s="5"/>
      <c r="H46" s="5"/>
      <c r="I46" s="1"/>
    </row>
    <row r="47" spans="1:9">
      <c r="A47" s="3" t="s">
        <v>329</v>
      </c>
      <c r="B47" s="8">
        <v>30</v>
      </c>
      <c r="C47" s="10">
        <f>B47*1.2/100</f>
        <v>0.36</v>
      </c>
      <c r="D47" s="10">
        <f>B47*0.2/100</f>
        <v>0.06</v>
      </c>
      <c r="E47" s="7">
        <f>B47*4.6/100</f>
        <v>1.38</v>
      </c>
      <c r="F47" s="10">
        <f>B47*21/100</f>
        <v>6.3</v>
      </c>
      <c r="G47" s="5"/>
      <c r="H47" s="5"/>
      <c r="I47" s="1"/>
    </row>
    <row r="48" spans="1:9">
      <c r="A48" s="3" t="s">
        <v>330</v>
      </c>
      <c r="B48" s="10">
        <v>10</v>
      </c>
      <c r="C48" s="10">
        <f>B48*1.3/100</f>
        <v>0.13</v>
      </c>
      <c r="D48" s="10">
        <f>B48*0/100</f>
        <v>0</v>
      </c>
      <c r="E48" s="10">
        <f>B48*3.5/100</f>
        <v>0.35</v>
      </c>
      <c r="F48" s="10">
        <f>B48*19/100</f>
        <v>1.9</v>
      </c>
      <c r="G48" s="5"/>
      <c r="H48" s="5"/>
      <c r="I48" s="1"/>
    </row>
    <row r="49" spans="1:9">
      <c r="A49" s="3" t="s">
        <v>57</v>
      </c>
      <c r="B49" s="8">
        <v>5</v>
      </c>
      <c r="C49" s="10">
        <f>B49*0/100</f>
        <v>0</v>
      </c>
      <c r="D49" s="10">
        <f>B49*99.9/100</f>
        <v>4.9950000000000001</v>
      </c>
      <c r="E49" s="7">
        <f>B49*0/100</f>
        <v>0</v>
      </c>
      <c r="F49" s="10">
        <f>B49*899/100</f>
        <v>44.95</v>
      </c>
      <c r="G49" s="5"/>
      <c r="H49" s="5"/>
      <c r="I49" s="1"/>
    </row>
    <row r="50" spans="1:9">
      <c r="A50" s="25" t="s">
        <v>14</v>
      </c>
      <c r="B50" s="5"/>
      <c r="C50" s="5">
        <f>C47+C48+C49</f>
        <v>0.49</v>
      </c>
      <c r="D50" s="5">
        <f>D47+D48+D49</f>
        <v>5.0549999999999997</v>
      </c>
      <c r="E50" s="5">
        <f>E47+E48+E49</f>
        <v>1.73</v>
      </c>
      <c r="F50" s="5">
        <f>F47+F48+F49</f>
        <v>53.150000000000006</v>
      </c>
      <c r="G50" s="5">
        <v>45</v>
      </c>
      <c r="H50" s="5"/>
      <c r="I50" s="1" t="s">
        <v>248</v>
      </c>
    </row>
    <row r="51" spans="1:9">
      <c r="A51" s="1" t="s">
        <v>32</v>
      </c>
      <c r="B51" s="5">
        <v>34</v>
      </c>
      <c r="C51" s="10">
        <f>B51*6.6/100</f>
        <v>2.2439999999999998</v>
      </c>
      <c r="D51" s="10">
        <f>B51*1.2/100</f>
        <v>0.40799999999999997</v>
      </c>
      <c r="E51" s="10">
        <f>B51*34.2/100</f>
        <v>11.628000000000002</v>
      </c>
      <c r="F51" s="10">
        <f>B51*181/100</f>
        <v>61.54</v>
      </c>
      <c r="G51" s="5">
        <v>34</v>
      </c>
      <c r="H51" s="5"/>
      <c r="I51" s="1"/>
    </row>
    <row r="52" spans="1:9">
      <c r="A52" s="2" t="s">
        <v>76</v>
      </c>
      <c r="B52" s="5"/>
      <c r="C52" s="5">
        <f>C29+C41+C45+C50+C51</f>
        <v>21.113</v>
      </c>
      <c r="D52" s="5">
        <f>D29+D41+D50+D51</f>
        <v>28.806999999999999</v>
      </c>
      <c r="E52" s="5">
        <f>E29+E41+E45+E50+E51</f>
        <v>48.072999999999993</v>
      </c>
      <c r="F52" s="5">
        <f>F29+F41+F45+F50+F51</f>
        <v>544.82999999999993</v>
      </c>
      <c r="G52" s="5">
        <v>566</v>
      </c>
      <c r="H52" s="7"/>
      <c r="I52" s="1"/>
    </row>
    <row r="53" spans="1:9">
      <c r="A53" s="1" t="s">
        <v>196</v>
      </c>
      <c r="B53" s="7">
        <v>2.5499999999999998</v>
      </c>
      <c r="C53" s="10"/>
      <c r="D53" s="10"/>
      <c r="E53" s="10"/>
      <c r="F53" s="10"/>
      <c r="G53" s="7"/>
      <c r="H53" s="7"/>
      <c r="I53" s="1"/>
    </row>
    <row r="54" spans="1:9" ht="19.5" customHeight="1">
      <c r="A54" s="14" t="s">
        <v>276</v>
      </c>
      <c r="B54" s="16"/>
      <c r="C54" s="16"/>
      <c r="D54" s="16"/>
      <c r="E54" s="16"/>
      <c r="F54" s="16"/>
      <c r="G54" s="5"/>
      <c r="H54" s="5"/>
      <c r="I54" s="1"/>
    </row>
    <row r="55" spans="1:9">
      <c r="A55" s="25" t="s">
        <v>299</v>
      </c>
      <c r="B55" s="7"/>
      <c r="C55" s="10"/>
      <c r="D55" s="10"/>
      <c r="E55" s="10"/>
      <c r="F55" s="7"/>
      <c r="G55" s="7"/>
      <c r="H55" s="7"/>
      <c r="I55" s="1"/>
    </row>
    <row r="56" spans="1:9">
      <c r="A56" s="1" t="s">
        <v>60</v>
      </c>
      <c r="B56" s="8">
        <v>130</v>
      </c>
      <c r="C56" s="10">
        <f>B56*16.7/100</f>
        <v>21.71</v>
      </c>
      <c r="D56" s="10">
        <f>B56*9/100</f>
        <v>11.7</v>
      </c>
      <c r="E56" s="10">
        <f>B56*1.9/100</f>
        <v>2.4700000000000002</v>
      </c>
      <c r="F56" s="7">
        <f>B56*88/100</f>
        <v>114.4</v>
      </c>
      <c r="G56" s="7"/>
      <c r="H56" s="7"/>
      <c r="I56" s="1"/>
    </row>
    <row r="57" spans="1:9">
      <c r="A57" s="1" t="s">
        <v>61</v>
      </c>
      <c r="B57" s="8">
        <v>6</v>
      </c>
      <c r="C57" s="10">
        <f>B57*10.3/100</f>
        <v>0.61799999999999999</v>
      </c>
      <c r="D57" s="10">
        <f>B57*1/100</f>
        <v>0.06</v>
      </c>
      <c r="E57" s="10">
        <f>B57*67.9/100</f>
        <v>4.0740000000000007</v>
      </c>
      <c r="F57" s="7">
        <f>B57*328/100</f>
        <v>19.68</v>
      </c>
      <c r="G57" s="7"/>
      <c r="H57" s="7"/>
      <c r="I57" s="1"/>
    </row>
    <row r="58" spans="1:9">
      <c r="A58" s="1" t="s">
        <v>21</v>
      </c>
      <c r="B58" s="8">
        <v>10</v>
      </c>
      <c r="C58" s="10">
        <f>B58*12.7/100</f>
        <v>1.27</v>
      </c>
      <c r="D58" s="10">
        <f>B58*11.5/100</f>
        <v>1.1499999999999999</v>
      </c>
      <c r="E58" s="10">
        <f>B58*0.7/100</f>
        <v>7.0000000000000007E-2</v>
      </c>
      <c r="F58" s="7">
        <f>B58*157/100</f>
        <v>15.7</v>
      </c>
      <c r="G58" s="7"/>
      <c r="H58" s="7"/>
      <c r="I58" s="1"/>
    </row>
    <row r="59" spans="1:9">
      <c r="A59" s="1" t="s">
        <v>291</v>
      </c>
      <c r="B59" s="8">
        <v>6</v>
      </c>
      <c r="C59" s="10">
        <f>B59*1.3/100</f>
        <v>7.8000000000000014E-2</v>
      </c>
      <c r="D59" s="10">
        <f>B59*0.1/100</f>
        <v>6.000000000000001E-3</v>
      </c>
      <c r="E59" s="10">
        <f>B59*8.4/100</f>
        <v>0.504</v>
      </c>
      <c r="F59" s="7">
        <f>B59*34/100</f>
        <v>2.04</v>
      </c>
      <c r="G59" s="7"/>
      <c r="H59" s="7"/>
      <c r="I59" s="1"/>
    </row>
    <row r="60" spans="1:9">
      <c r="A60" s="1" t="s">
        <v>7</v>
      </c>
      <c r="B60" s="8">
        <v>30</v>
      </c>
      <c r="C60" s="10">
        <f>B60*2.8/100</f>
        <v>0.84</v>
      </c>
      <c r="D60" s="10">
        <f>B60*3.5/100</f>
        <v>1.05</v>
      </c>
      <c r="E60" s="10">
        <f>B60*4.7/100</f>
        <v>1.41</v>
      </c>
      <c r="F60" s="7">
        <f>B60*61/100</f>
        <v>18.3</v>
      </c>
      <c r="G60" s="7"/>
      <c r="H60" s="7"/>
      <c r="I60" s="1"/>
    </row>
    <row r="61" spans="1:9">
      <c r="A61" s="1" t="s">
        <v>8</v>
      </c>
      <c r="B61" s="8">
        <v>3</v>
      </c>
      <c r="C61" s="10">
        <f>B61*0.7/100</f>
        <v>2.0999999999999998E-2</v>
      </c>
      <c r="D61" s="10">
        <f>B61*72.5/100</f>
        <v>2.1749999999999998</v>
      </c>
      <c r="E61" s="10">
        <f>B61*1/100</f>
        <v>0.03</v>
      </c>
      <c r="F61" s="7">
        <f>B61*709/100</f>
        <v>21.27</v>
      </c>
      <c r="G61" s="7"/>
      <c r="H61" s="7"/>
      <c r="I61" s="1"/>
    </row>
    <row r="62" spans="1:9">
      <c r="A62" s="1" t="s">
        <v>57</v>
      </c>
      <c r="B62" s="8">
        <v>3</v>
      </c>
      <c r="C62" s="10">
        <f t="shared" ref="C62" si="3">B62*0/100</f>
        <v>0</v>
      </c>
      <c r="D62" s="10">
        <f>B62*99.9/100</f>
        <v>2.9970000000000003</v>
      </c>
      <c r="E62" s="10">
        <f t="shared" ref="E62" si="4">B62*0/100</f>
        <v>0</v>
      </c>
      <c r="F62" s="7">
        <f>B62*899/100</f>
        <v>26.97</v>
      </c>
      <c r="G62" s="7"/>
      <c r="H62" s="7"/>
      <c r="I62" s="1"/>
    </row>
    <row r="63" spans="1:9">
      <c r="A63" s="1" t="s">
        <v>131</v>
      </c>
      <c r="B63" s="8">
        <v>20</v>
      </c>
      <c r="C63" s="10">
        <f>B63*0.4/100</f>
        <v>0.08</v>
      </c>
      <c r="D63" s="10">
        <f>B63*0.6/100</f>
        <v>0.12</v>
      </c>
      <c r="E63" s="10">
        <f>B63*3.9/100</f>
        <v>0.78</v>
      </c>
      <c r="F63" s="7">
        <f>B63*320/100</f>
        <v>64</v>
      </c>
      <c r="G63" s="5"/>
      <c r="H63" s="5"/>
      <c r="I63" s="1"/>
    </row>
    <row r="64" spans="1:9">
      <c r="A64" s="3" t="s">
        <v>9</v>
      </c>
      <c r="B64" s="11">
        <v>8</v>
      </c>
      <c r="C64" s="10">
        <f t="shared" ref="C64" si="5">B64*7.2/100</f>
        <v>0.57600000000000007</v>
      </c>
      <c r="D64" s="10">
        <f t="shared" ref="D64" si="6">B64*8.5/100</f>
        <v>0.68</v>
      </c>
      <c r="E64" s="10">
        <f>B64*99.8/100</f>
        <v>7.984</v>
      </c>
      <c r="F64" s="10">
        <f>B64*242/100</f>
        <v>19.36</v>
      </c>
      <c r="G64" s="5" t="s">
        <v>352</v>
      </c>
      <c r="H64" s="5"/>
      <c r="I64" s="1"/>
    </row>
    <row r="65" spans="1:9">
      <c r="A65" s="2" t="s">
        <v>91</v>
      </c>
      <c r="B65" s="5"/>
      <c r="C65" s="5">
        <f>C56+C57+C58+C59+C60+C61+C62+C63+C64</f>
        <v>25.192999999999998</v>
      </c>
      <c r="D65" s="5">
        <f>D56+D57+D58+D59+D60+D61+D62+D63+D64</f>
        <v>19.938000000000002</v>
      </c>
      <c r="E65" s="5">
        <f>E56+E57+E58+E59+E60+E61+E62+E63+E64</f>
        <v>17.321999999999999</v>
      </c>
      <c r="F65" s="5">
        <f>F56+F57+F58+F59+F60+F61+F62+F63+F64</f>
        <v>301.72000000000003</v>
      </c>
      <c r="G65" s="5"/>
      <c r="H65" s="5"/>
      <c r="I65" s="1" t="s">
        <v>300</v>
      </c>
    </row>
    <row r="66" spans="1:9">
      <c r="A66" s="2" t="s">
        <v>63</v>
      </c>
      <c r="B66" s="5"/>
      <c r="C66" s="5"/>
      <c r="D66" s="5"/>
      <c r="E66" s="5"/>
      <c r="F66" s="5"/>
      <c r="G66" s="7"/>
      <c r="H66" s="7"/>
      <c r="I66" s="1"/>
    </row>
    <row r="67" spans="1:9">
      <c r="A67" s="1" t="s">
        <v>89</v>
      </c>
      <c r="B67" s="8">
        <v>1.5</v>
      </c>
      <c r="C67" s="7">
        <f>B67*24.2/100</f>
        <v>0.36299999999999999</v>
      </c>
      <c r="D67" s="7">
        <f>B67*17.5/100</f>
        <v>0.26250000000000001</v>
      </c>
      <c r="E67" s="7">
        <f>B67*27.9/100</f>
        <v>0.41849999999999993</v>
      </c>
      <c r="F67" s="7">
        <f>B67*373/100</f>
        <v>5.5949999999999998</v>
      </c>
      <c r="G67" s="7"/>
      <c r="H67" s="7"/>
      <c r="I67" s="1"/>
    </row>
    <row r="68" spans="1:9">
      <c r="A68" s="1" t="s">
        <v>7</v>
      </c>
      <c r="B68" s="8">
        <v>130</v>
      </c>
      <c r="C68" s="7">
        <f>B68*2.8/100</f>
        <v>3.64</v>
      </c>
      <c r="D68" s="7">
        <f>B68*3.5/100</f>
        <v>4.55</v>
      </c>
      <c r="E68" s="7">
        <f>B68*4.7/100</f>
        <v>6.11</v>
      </c>
      <c r="F68" s="7">
        <f>B68*61/100</f>
        <v>79.3</v>
      </c>
      <c r="G68" s="7"/>
      <c r="H68" s="7"/>
      <c r="I68" s="1"/>
    </row>
    <row r="69" spans="1:9">
      <c r="A69" s="1" t="s">
        <v>9</v>
      </c>
      <c r="B69" s="8">
        <v>5</v>
      </c>
      <c r="C69" s="7">
        <f>B69*0/100</f>
        <v>0</v>
      </c>
      <c r="D69" s="7">
        <f>B69*0/100</f>
        <v>0</v>
      </c>
      <c r="E69" s="7">
        <f>B69*199.8/100</f>
        <v>9.99</v>
      </c>
      <c r="F69" s="7">
        <f>B69*379/100</f>
        <v>18.95</v>
      </c>
      <c r="G69" s="5"/>
      <c r="H69" s="5"/>
      <c r="I69" s="1"/>
    </row>
    <row r="70" spans="1:9">
      <c r="A70" s="2" t="s">
        <v>14</v>
      </c>
      <c r="B70" s="5"/>
      <c r="C70" s="5">
        <f>C66+C67+C68</f>
        <v>4.0030000000000001</v>
      </c>
      <c r="D70" s="5">
        <f>D67+D68+D69</f>
        <v>4.8125</v>
      </c>
      <c r="E70" s="5">
        <f>E67+E68+E69</f>
        <v>16.5185</v>
      </c>
      <c r="F70" s="5">
        <f>F67+F68+F69</f>
        <v>103.845</v>
      </c>
      <c r="G70" s="5">
        <v>150</v>
      </c>
      <c r="H70" s="5"/>
      <c r="I70" s="1" t="s">
        <v>208</v>
      </c>
    </row>
    <row r="71" spans="1:9">
      <c r="A71" s="2" t="s">
        <v>282</v>
      </c>
      <c r="B71" s="5"/>
      <c r="C71" s="21">
        <f>C65+C70</f>
        <v>29.195999999999998</v>
      </c>
      <c r="D71" s="5">
        <f>D65+D70</f>
        <v>24.750500000000002</v>
      </c>
      <c r="E71" s="5">
        <f>E65+E70</f>
        <v>33.840499999999999</v>
      </c>
      <c r="F71" s="5">
        <f>F65+F70</f>
        <v>405.56500000000005</v>
      </c>
      <c r="G71" s="5">
        <v>290</v>
      </c>
      <c r="H71" s="7"/>
      <c r="I71" s="1"/>
    </row>
    <row r="72" spans="1:9">
      <c r="A72" s="1"/>
      <c r="B72" s="7"/>
      <c r="C72" s="10"/>
      <c r="D72" s="10"/>
      <c r="E72" s="10"/>
      <c r="F72" s="10"/>
      <c r="G72" s="7"/>
      <c r="H72" s="7"/>
      <c r="I72" s="1"/>
    </row>
    <row r="73" spans="1:9">
      <c r="A73" s="2" t="s">
        <v>280</v>
      </c>
      <c r="B73" s="7"/>
      <c r="C73" s="21">
        <f>C15+C17+C52+C71</f>
        <v>60.887</v>
      </c>
      <c r="D73" s="5">
        <f>D15+D17+D52+D71</f>
        <v>65.615499999999997</v>
      </c>
      <c r="E73" s="5">
        <f>E15+E17+E52+E71</f>
        <v>152.18549999999999</v>
      </c>
      <c r="F73" s="5">
        <f>F15+F17+F52+F71</f>
        <v>1413.5450000000001</v>
      </c>
      <c r="G73" s="7"/>
      <c r="H73" s="7"/>
      <c r="I73" s="1"/>
    </row>
    <row r="74" spans="1:9">
      <c r="A74" s="1"/>
      <c r="B74" s="7"/>
      <c r="C74" s="10"/>
      <c r="D74" s="10"/>
      <c r="E74" s="10"/>
      <c r="F74" s="10"/>
      <c r="G74" s="7"/>
      <c r="H74" s="7"/>
      <c r="I74" s="1"/>
    </row>
    <row r="75" spans="1:9">
      <c r="A75" s="1" t="s">
        <v>298</v>
      </c>
      <c r="B75" s="7"/>
      <c r="C75" s="10"/>
      <c r="D75" s="10"/>
      <c r="E75" s="10"/>
      <c r="F75" s="10"/>
      <c r="G75" s="7"/>
      <c r="H75" s="7"/>
      <c r="I75" s="1"/>
    </row>
  </sheetData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1"/>
  <sheetViews>
    <sheetView topLeftCell="A52" workbookViewId="0">
      <selection activeCell="M63" sqref="M63"/>
    </sheetView>
  </sheetViews>
  <sheetFormatPr defaultRowHeight="15"/>
  <cols>
    <col min="1" max="1" width="43" customWidth="1"/>
    <col min="2" max="2" width="7.7109375" customWidth="1"/>
    <col min="3" max="3" width="8.5703125" customWidth="1"/>
    <col min="7" max="8" width="7.85546875" customWidth="1"/>
    <col min="9" max="9" width="13.5703125" customWidth="1"/>
  </cols>
  <sheetData>
    <row r="1" spans="1:9">
      <c r="A1" s="2" t="s">
        <v>36</v>
      </c>
      <c r="B1" s="7"/>
      <c r="C1" s="10"/>
      <c r="D1" s="10"/>
      <c r="E1" s="10"/>
      <c r="F1" s="10"/>
      <c r="G1" s="5"/>
      <c r="H1" s="5" t="s">
        <v>249</v>
      </c>
      <c r="I1" s="2" t="s">
        <v>197</v>
      </c>
    </row>
    <row r="2" spans="1:9">
      <c r="A2" s="2" t="s">
        <v>314</v>
      </c>
      <c r="B2" s="8"/>
      <c r="C2" s="10"/>
      <c r="D2" s="10"/>
      <c r="E2" s="10"/>
      <c r="F2" s="10"/>
      <c r="G2" s="7"/>
      <c r="H2" s="7"/>
      <c r="I2" s="1"/>
    </row>
    <row r="3" spans="1:9">
      <c r="A3" s="1" t="s">
        <v>309</v>
      </c>
      <c r="B3" s="8">
        <v>20</v>
      </c>
      <c r="C3" s="10">
        <f>B3*10.3/100</f>
        <v>2.06</v>
      </c>
      <c r="D3" s="10">
        <f>B3*1/100</f>
        <v>0.2</v>
      </c>
      <c r="E3" s="10">
        <f>B3*67.9/100</f>
        <v>13.58</v>
      </c>
      <c r="F3" s="10">
        <f>B3*328/100</f>
        <v>65.599999999999994</v>
      </c>
      <c r="G3" s="7"/>
      <c r="H3" s="7"/>
      <c r="I3" s="1"/>
    </row>
    <row r="4" spans="1:9">
      <c r="A4" s="1" t="s">
        <v>7</v>
      </c>
      <c r="B4" s="8">
        <v>130</v>
      </c>
      <c r="C4" s="10">
        <f>B4*2.8/100</f>
        <v>3.64</v>
      </c>
      <c r="D4" s="10">
        <f>B4*3.5/100</f>
        <v>4.55</v>
      </c>
      <c r="E4" s="10">
        <f>B4*4.7/100</f>
        <v>6.11</v>
      </c>
      <c r="F4" s="10">
        <f>B4*61/100</f>
        <v>79.3</v>
      </c>
      <c r="G4" s="7"/>
      <c r="H4" s="7"/>
      <c r="I4" s="1"/>
    </row>
    <row r="5" spans="1:9">
      <c r="A5" s="1" t="s">
        <v>8</v>
      </c>
      <c r="B5" s="8">
        <v>3</v>
      </c>
      <c r="C5" s="10">
        <f>B5*0.7/100</f>
        <v>2.0999999999999998E-2</v>
      </c>
      <c r="D5" s="10">
        <f>B5*72.5/100</f>
        <v>2.1749999999999998</v>
      </c>
      <c r="E5" s="10">
        <f>B5*1/100</f>
        <v>0.03</v>
      </c>
      <c r="F5" s="10">
        <f>B5*709/100</f>
        <v>21.27</v>
      </c>
      <c r="G5" s="5"/>
      <c r="H5" s="5"/>
      <c r="I5" s="1"/>
    </row>
    <row r="6" spans="1:9">
      <c r="A6" s="1" t="s">
        <v>9</v>
      </c>
      <c r="B6" s="8">
        <v>3</v>
      </c>
      <c r="C6" s="10">
        <f>B6*0/100</f>
        <v>0</v>
      </c>
      <c r="D6" s="10">
        <f>B6*0/100</f>
        <v>0</v>
      </c>
      <c r="E6" s="10">
        <f>B6*99.8/100</f>
        <v>2.9939999999999998</v>
      </c>
      <c r="F6" s="10">
        <f t="shared" ref="F6:F11" si="0">B6*379/100</f>
        <v>11.37</v>
      </c>
      <c r="G6" s="5"/>
      <c r="H6" s="5"/>
      <c r="I6" s="1"/>
    </row>
    <row r="7" spans="1:9">
      <c r="A7" s="2" t="s">
        <v>14</v>
      </c>
      <c r="B7" s="5"/>
      <c r="C7" s="5">
        <f>C3+C4+C5+C6</f>
        <v>5.7210000000000001</v>
      </c>
      <c r="D7" s="5">
        <f>D3+D4+D5+D6</f>
        <v>6.9249999999999998</v>
      </c>
      <c r="E7" s="5">
        <f>E3+E4+E5+E6</f>
        <v>22.714000000000002</v>
      </c>
      <c r="F7" s="5">
        <f>F3+F4+F5+F6</f>
        <v>177.54</v>
      </c>
      <c r="G7" s="5">
        <v>150</v>
      </c>
      <c r="H7" s="5"/>
      <c r="I7" s="1" t="s">
        <v>308</v>
      </c>
    </row>
    <row r="8" spans="1:9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>
      <c r="A9" s="1" t="s">
        <v>116</v>
      </c>
      <c r="B9" s="8">
        <v>1</v>
      </c>
      <c r="C9" s="10">
        <f>B9*24.2/100</f>
        <v>0.24199999999999999</v>
      </c>
      <c r="D9" s="10">
        <f>B9*17.5/100</f>
        <v>0.17499999999999999</v>
      </c>
      <c r="E9" s="10">
        <f>B9*27.9/100</f>
        <v>0.27899999999999997</v>
      </c>
      <c r="F9" s="10">
        <f>B9*373/100</f>
        <v>3.73</v>
      </c>
      <c r="G9" s="5"/>
      <c r="H9" s="5"/>
      <c r="I9" s="1"/>
    </row>
    <row r="10" spans="1:9">
      <c r="A10" s="1" t="s">
        <v>99</v>
      </c>
      <c r="B10" s="8">
        <v>130</v>
      </c>
      <c r="C10" s="10">
        <f>B10*2.8/100</f>
        <v>3.64</v>
      </c>
      <c r="D10" s="10">
        <f>B10*3.5/100</f>
        <v>4.55</v>
      </c>
      <c r="E10" s="10">
        <f>B10*4.7/100</f>
        <v>6.11</v>
      </c>
      <c r="F10" s="10">
        <f>B10*61/100</f>
        <v>79.3</v>
      </c>
      <c r="G10" s="5"/>
      <c r="H10" s="5"/>
      <c r="I10" s="1"/>
    </row>
    <row r="11" spans="1:9">
      <c r="A11" s="1" t="s">
        <v>9</v>
      </c>
      <c r="B11" s="8">
        <v>6</v>
      </c>
      <c r="C11" s="10">
        <f>B11*0/100</f>
        <v>0</v>
      </c>
      <c r="D11" s="10">
        <f>B11*0/100</f>
        <v>0</v>
      </c>
      <c r="E11" s="10">
        <f>B11*99.8/100</f>
        <v>5.9879999999999995</v>
      </c>
      <c r="F11" s="10">
        <f t="shared" si="0"/>
        <v>22.74</v>
      </c>
      <c r="G11" s="5"/>
      <c r="H11" s="5"/>
      <c r="I11" s="1"/>
    </row>
    <row r="12" spans="1:9">
      <c r="A12" s="2" t="s">
        <v>14</v>
      </c>
      <c r="B12" s="5"/>
      <c r="C12" s="5">
        <f>C9+C10+C11</f>
        <v>3.8820000000000001</v>
      </c>
      <c r="D12" s="5">
        <f>D9+D10+D11</f>
        <v>4.7249999999999996</v>
      </c>
      <c r="E12" s="5">
        <f>E9+E10+E11</f>
        <v>12.376999999999999</v>
      </c>
      <c r="F12" s="5">
        <f>F9+F10+F11</f>
        <v>105.77</v>
      </c>
      <c r="G12" s="5">
        <v>150</v>
      </c>
      <c r="H12" s="5"/>
      <c r="I12" s="1" t="s">
        <v>217</v>
      </c>
    </row>
    <row r="13" spans="1:9">
      <c r="A13" s="1" t="s">
        <v>12</v>
      </c>
      <c r="B13" s="8">
        <v>50</v>
      </c>
      <c r="C13" s="10">
        <f>B13*7.7/100</f>
        <v>3.85</v>
      </c>
      <c r="D13" s="10">
        <f>B13*3/100</f>
        <v>1.5</v>
      </c>
      <c r="E13" s="10">
        <f>B13*49.8/100</f>
        <v>24.9</v>
      </c>
      <c r="F13" s="10">
        <f>B13*262/100</f>
        <v>131</v>
      </c>
      <c r="G13" s="5">
        <v>50</v>
      </c>
      <c r="H13" s="5"/>
      <c r="I13" s="1"/>
    </row>
    <row r="14" spans="1:9">
      <c r="A14" s="1" t="s">
        <v>8</v>
      </c>
      <c r="B14" s="8">
        <v>5</v>
      </c>
      <c r="C14" s="10">
        <f>B14*0.7/100</f>
        <v>3.5000000000000003E-2</v>
      </c>
      <c r="D14" s="10">
        <f>B14*72.5/100</f>
        <v>3.625</v>
      </c>
      <c r="E14" s="10">
        <f>B14*1/100</f>
        <v>0.05</v>
      </c>
      <c r="F14" s="10">
        <f>B14*709/100</f>
        <v>35.450000000000003</v>
      </c>
      <c r="G14" s="5">
        <v>5</v>
      </c>
      <c r="H14" s="5"/>
      <c r="I14" s="1"/>
    </row>
    <row r="15" spans="1:9">
      <c r="A15" s="2" t="s">
        <v>21</v>
      </c>
      <c r="B15" s="8">
        <v>20</v>
      </c>
      <c r="C15" s="10">
        <f>B15*12.7/100</f>
        <v>2.54</v>
      </c>
      <c r="D15" s="10">
        <f>B15*11.5/100</f>
        <v>2.2999999999999998</v>
      </c>
      <c r="E15" s="10">
        <f>B15*0.8/100</f>
        <v>0.16</v>
      </c>
      <c r="F15" s="10">
        <f>B15*157/100</f>
        <v>31.4</v>
      </c>
      <c r="G15" s="5">
        <v>20</v>
      </c>
      <c r="H15" s="5"/>
      <c r="I15" s="1"/>
    </row>
    <row r="16" spans="1:9">
      <c r="A16" s="2" t="s">
        <v>118</v>
      </c>
      <c r="B16" s="5"/>
      <c r="C16" s="5">
        <f>C7+C12+C13+C14+C15</f>
        <v>16.027999999999999</v>
      </c>
      <c r="D16" s="5">
        <f>D7+D12+D13+D14+D15</f>
        <v>19.074999999999999</v>
      </c>
      <c r="E16" s="5">
        <f>E7+E12+E13+E14+E15</f>
        <v>60.200999999999993</v>
      </c>
      <c r="F16" s="5">
        <f>F7+F12+F13+F14+F15</f>
        <v>481.15999999999997</v>
      </c>
      <c r="G16" s="5">
        <v>375</v>
      </c>
      <c r="H16" s="5"/>
      <c r="I16" s="1"/>
    </row>
    <row r="17" spans="1:9">
      <c r="A17" s="1"/>
      <c r="B17" s="7"/>
      <c r="C17" s="10">
        <f t="shared" ref="C17" si="1">B17*1.5/100</f>
        <v>0</v>
      </c>
      <c r="D17" s="10">
        <f t="shared" ref="D17:D40" si="2">B17*72.5/100</f>
        <v>0</v>
      </c>
      <c r="E17" s="7">
        <f t="shared" ref="E17" si="3">B17*49.8/100</f>
        <v>0</v>
      </c>
      <c r="F17" s="10">
        <f t="shared" ref="F17" si="4">B17*89/100</f>
        <v>0</v>
      </c>
      <c r="G17" s="5"/>
      <c r="H17" s="5"/>
      <c r="I17" s="1"/>
    </row>
    <row r="18" spans="1:9">
      <c r="A18" s="2" t="s">
        <v>145</v>
      </c>
      <c r="B18" s="5">
        <v>120</v>
      </c>
      <c r="C18" s="5">
        <f>B18*0.9/100</f>
        <v>1.08</v>
      </c>
      <c r="D18" s="5">
        <f>B18*0.2/100</f>
        <v>0.24</v>
      </c>
      <c r="E18" s="5">
        <f>B18*8.1/100</f>
        <v>9.7200000000000006</v>
      </c>
      <c r="F18" s="5">
        <f>B18*40/100</f>
        <v>48</v>
      </c>
      <c r="G18" s="5">
        <v>120</v>
      </c>
      <c r="H18" s="5"/>
      <c r="I18" s="1" t="s">
        <v>250</v>
      </c>
    </row>
    <row r="19" spans="1:9">
      <c r="A19" s="1"/>
      <c r="B19" s="7"/>
      <c r="C19" s="10"/>
      <c r="D19" s="10"/>
      <c r="E19" s="7"/>
      <c r="F19" s="10"/>
      <c r="G19" s="7"/>
      <c r="H19" s="7"/>
      <c r="I19" s="1"/>
    </row>
    <row r="20" spans="1:9">
      <c r="A20" s="1" t="s">
        <v>33</v>
      </c>
      <c r="B20" s="7"/>
      <c r="C20" s="10"/>
      <c r="D20" s="10"/>
      <c r="E20" s="7"/>
      <c r="F20" s="10"/>
      <c r="G20" s="7"/>
      <c r="H20" s="7"/>
      <c r="I20" s="1"/>
    </row>
    <row r="21" spans="1:9">
      <c r="A21" s="2" t="s">
        <v>146</v>
      </c>
      <c r="B21" s="7"/>
      <c r="C21" s="10"/>
      <c r="D21" s="10"/>
      <c r="E21" s="7"/>
      <c r="F21" s="10"/>
      <c r="G21" s="7"/>
      <c r="H21" s="7"/>
      <c r="I21" s="1"/>
    </row>
    <row r="22" spans="1:9">
      <c r="A22" s="1" t="s">
        <v>147</v>
      </c>
      <c r="B22" s="8">
        <v>30</v>
      </c>
      <c r="C22" s="10">
        <f>B22*18.6/100</f>
        <v>5.58</v>
      </c>
      <c r="D22" s="10">
        <f>B22*16/100</f>
        <v>4.8</v>
      </c>
      <c r="E22" s="7">
        <f>B22*0/100</f>
        <v>0</v>
      </c>
      <c r="F22" s="10">
        <f>B22*218/100</f>
        <v>65.400000000000006</v>
      </c>
      <c r="G22" s="7"/>
      <c r="H22" s="7"/>
      <c r="I22" s="1"/>
    </row>
    <row r="23" spans="1:9">
      <c r="A23" s="1" t="s">
        <v>148</v>
      </c>
      <c r="B23" s="8">
        <v>10</v>
      </c>
      <c r="C23" s="10">
        <f>B23*23/100</f>
        <v>2.2999999999999998</v>
      </c>
      <c r="D23" s="10">
        <f>B23*1.6/100</f>
        <v>0.16</v>
      </c>
      <c r="E23" s="7">
        <f>B23*53.3/100</f>
        <v>5.33</v>
      </c>
      <c r="F23" s="10">
        <f>B23*323/100</f>
        <v>32.299999999999997</v>
      </c>
      <c r="G23" s="7"/>
      <c r="H23" s="7"/>
      <c r="I23" s="1"/>
    </row>
    <row r="24" spans="1:9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 ht="12" customHeight="1">
      <c r="A25" s="1" t="s">
        <v>20</v>
      </c>
      <c r="B25" s="8">
        <v>11</v>
      </c>
      <c r="C25" s="10">
        <f>B25*1.4/100</f>
        <v>0.154</v>
      </c>
      <c r="D25" s="10">
        <f>B25*0/100</f>
        <v>0</v>
      </c>
      <c r="E25" s="7">
        <f>B25*9.1/100</f>
        <v>1.0009999999999999</v>
      </c>
      <c r="F25" s="10">
        <f>B25*41/100</f>
        <v>4.51</v>
      </c>
      <c r="G25" s="7"/>
      <c r="H25" s="7"/>
      <c r="I25" s="1"/>
    </row>
    <row r="26" spans="1:9">
      <c r="A26" s="1" t="s">
        <v>16</v>
      </c>
      <c r="B26" s="8">
        <v>11</v>
      </c>
      <c r="C26" s="10">
        <f>B26*1.3/100</f>
        <v>0.14300000000000002</v>
      </c>
      <c r="D26" s="10">
        <f>B26*0.1/100</f>
        <v>1.1000000000000001E-2</v>
      </c>
      <c r="E26" s="7">
        <f>B26*8.4/100</f>
        <v>0.92400000000000004</v>
      </c>
      <c r="F26" s="10">
        <f>B26*34/100</f>
        <v>3.74</v>
      </c>
      <c r="G26" s="7"/>
      <c r="H26" s="7"/>
      <c r="I26" s="1"/>
    </row>
    <row r="27" spans="1:9">
      <c r="A27" s="1" t="s">
        <v>8</v>
      </c>
      <c r="B27" s="8">
        <v>2</v>
      </c>
      <c r="C27" s="10">
        <f>B27*0.7/100</f>
        <v>1.3999999999999999E-2</v>
      </c>
      <c r="D27" s="10">
        <f t="shared" si="2"/>
        <v>1.45</v>
      </c>
      <c r="E27" s="7">
        <f>B27*1/100</f>
        <v>0.02</v>
      </c>
      <c r="F27" s="10">
        <f>B27*709/100</f>
        <v>14.18</v>
      </c>
      <c r="G27" s="5"/>
      <c r="H27" s="5"/>
      <c r="I27" s="1"/>
    </row>
    <row r="28" spans="1:9">
      <c r="A28" s="2" t="s">
        <v>14</v>
      </c>
      <c r="B28" s="5"/>
      <c r="C28" s="5">
        <f>C22+C23+C24+C25+C26+C27</f>
        <v>8.9909999999999997</v>
      </c>
      <c r="D28" s="5">
        <f>D22+D23+D24+D25+D26+D27</f>
        <v>6.5810000000000004</v>
      </c>
      <c r="E28" s="5">
        <f>E22+E23+E24+E25+E26+E27</f>
        <v>14.194999999999999</v>
      </c>
      <c r="F28" s="5">
        <f>F22+F23+F24+F25+F26+F27</f>
        <v>152.13</v>
      </c>
      <c r="G28" s="5">
        <v>150</v>
      </c>
      <c r="H28" s="5"/>
      <c r="I28" s="1" t="s">
        <v>251</v>
      </c>
    </row>
    <row r="29" spans="1:9">
      <c r="A29" s="2" t="s">
        <v>297</v>
      </c>
      <c r="B29" s="7"/>
      <c r="C29" s="10"/>
      <c r="D29" s="10"/>
      <c r="E29" s="7"/>
      <c r="F29" s="10"/>
      <c r="G29" s="5"/>
      <c r="H29" s="5"/>
      <c r="I29" s="1"/>
    </row>
    <row r="30" spans="1:9">
      <c r="A30" s="1" t="s">
        <v>147</v>
      </c>
      <c r="B30" s="8">
        <v>60</v>
      </c>
      <c r="C30" s="10">
        <f>B30*18.6/100</f>
        <v>11.16</v>
      </c>
      <c r="D30" s="10">
        <f>B30*16/100</f>
        <v>9.6</v>
      </c>
      <c r="E30" s="7">
        <f>B30*0/100</f>
        <v>0</v>
      </c>
      <c r="F30" s="10">
        <f>B30*218/100</f>
        <v>130.80000000000001</v>
      </c>
      <c r="G30" s="5"/>
      <c r="H30" s="5"/>
      <c r="I30" s="1"/>
    </row>
    <row r="31" spans="1:9">
      <c r="A31" s="1" t="s">
        <v>21</v>
      </c>
      <c r="B31" s="8">
        <v>4</v>
      </c>
      <c r="C31" s="10">
        <f>B31*12.7/100</f>
        <v>0.50800000000000001</v>
      </c>
      <c r="D31" s="10">
        <f>B31*11.5/100</f>
        <v>0.46</v>
      </c>
      <c r="E31" s="7">
        <f>B31*0.7/100</f>
        <v>2.7999999999999997E-2</v>
      </c>
      <c r="F31" s="10">
        <f>B31*157/100</f>
        <v>6.28</v>
      </c>
      <c r="G31" s="5"/>
      <c r="H31" s="5"/>
      <c r="I31" s="1"/>
    </row>
    <row r="32" spans="1:9">
      <c r="A32" s="1" t="s">
        <v>20</v>
      </c>
      <c r="B32" s="8">
        <v>18</v>
      </c>
      <c r="C32" s="10">
        <f>B32*1.4/100</f>
        <v>0.252</v>
      </c>
      <c r="D32" s="10">
        <f>B32*0/100</f>
        <v>0</v>
      </c>
      <c r="E32" s="7">
        <f>B32*9.1/100</f>
        <v>1.6379999999999999</v>
      </c>
      <c r="F32" s="10">
        <f>B32*41/100</f>
        <v>7.38</v>
      </c>
      <c r="G32" s="5"/>
      <c r="H32" s="5"/>
      <c r="I32" s="1"/>
    </row>
    <row r="33" spans="1:9">
      <c r="A33" s="1" t="s">
        <v>16</v>
      </c>
      <c r="B33" s="8">
        <v>18</v>
      </c>
      <c r="C33" s="10">
        <f>B33*1.3/100</f>
        <v>0.23400000000000001</v>
      </c>
      <c r="D33" s="10">
        <f>B33*0.1/100</f>
        <v>1.8000000000000002E-2</v>
      </c>
      <c r="E33" s="7">
        <f>B33*8.4/100</f>
        <v>1.5120000000000002</v>
      </c>
      <c r="F33" s="10">
        <f>B33*34/100</f>
        <v>6.12</v>
      </c>
      <c r="G33" s="5"/>
      <c r="H33" s="5"/>
      <c r="I33" s="1"/>
    </row>
    <row r="34" spans="1:9">
      <c r="A34" s="1" t="s">
        <v>28</v>
      </c>
      <c r="B34" s="8">
        <v>4</v>
      </c>
      <c r="C34" s="10">
        <f>B34*4.8/100</f>
        <v>0.192</v>
      </c>
      <c r="D34" s="10">
        <f>B34*0/100</f>
        <v>0</v>
      </c>
      <c r="E34" s="7">
        <f>B34*19/100</f>
        <v>0.76</v>
      </c>
      <c r="F34" s="10">
        <f>B34*99/100</f>
        <v>3.96</v>
      </c>
      <c r="G34" s="5"/>
      <c r="H34" s="5"/>
      <c r="I34" s="1"/>
    </row>
    <row r="35" spans="1:9">
      <c r="A35" s="1" t="s">
        <v>123</v>
      </c>
      <c r="B35" s="8">
        <v>3</v>
      </c>
      <c r="C35" s="10">
        <f>B35*10.3/100</f>
        <v>0.309</v>
      </c>
      <c r="D35" s="10">
        <f>B35*1.1/100</f>
        <v>3.3000000000000002E-2</v>
      </c>
      <c r="E35" s="7">
        <f>B35*69/100</f>
        <v>2.0699999999999998</v>
      </c>
      <c r="F35" s="10">
        <f>B35*334/100</f>
        <v>10.02</v>
      </c>
      <c r="G35" s="5"/>
      <c r="H35" s="5"/>
      <c r="I35" s="1"/>
    </row>
    <row r="36" spans="1:9">
      <c r="A36" s="1" t="s">
        <v>57</v>
      </c>
      <c r="B36" s="8">
        <v>3</v>
      </c>
      <c r="C36" s="10">
        <f>B36*0/100</f>
        <v>0</v>
      </c>
      <c r="D36" s="10">
        <f>B36*99.9/100</f>
        <v>2.9970000000000003</v>
      </c>
      <c r="E36" s="7">
        <f>B36*0/100</f>
        <v>0</v>
      </c>
      <c r="F36" s="10">
        <f>B36*899/100</f>
        <v>26.97</v>
      </c>
      <c r="G36" s="5"/>
      <c r="H36" s="5"/>
      <c r="I36" s="1"/>
    </row>
    <row r="37" spans="1:9">
      <c r="A37" s="1" t="s">
        <v>12</v>
      </c>
      <c r="B37" s="8">
        <v>8</v>
      </c>
      <c r="C37" s="10">
        <f>B37*7.7/100</f>
        <v>0.61599999999999999</v>
      </c>
      <c r="D37" s="10">
        <f>B37*3/100</f>
        <v>0.24</v>
      </c>
      <c r="E37" s="7">
        <f>B37*49.8/100</f>
        <v>3.984</v>
      </c>
      <c r="F37" s="10">
        <f>B37*262/100</f>
        <v>20.96</v>
      </c>
      <c r="G37" s="5"/>
      <c r="H37" s="5"/>
      <c r="I37" s="1"/>
    </row>
    <row r="38" spans="1:9">
      <c r="A38" s="2" t="s">
        <v>14</v>
      </c>
      <c r="B38" s="5"/>
      <c r="C38" s="5">
        <f>C30+C31+C32+C33+C34+C35+C36+C37</f>
        <v>13.270999999999999</v>
      </c>
      <c r="D38" s="5">
        <f>D30+D31+D32+D33+D34+D35+D36+D37</f>
        <v>13.348000000000001</v>
      </c>
      <c r="E38" s="5">
        <f>E30+E31+E32+E33+E34+E35+E36+E37</f>
        <v>9.9919999999999991</v>
      </c>
      <c r="F38" s="5">
        <f>F30+F31+F32+F33+F34+F35+F36+F37</f>
        <v>212.49000000000004</v>
      </c>
      <c r="G38" s="5" t="s">
        <v>331</v>
      </c>
      <c r="H38" s="5"/>
      <c r="I38" s="1" t="s">
        <v>252</v>
      </c>
    </row>
    <row r="39" spans="1:9">
      <c r="A39" s="2" t="s">
        <v>150</v>
      </c>
      <c r="B39" s="8">
        <v>25</v>
      </c>
      <c r="C39" s="10">
        <f>B39*12.6/100</f>
        <v>3.15</v>
      </c>
      <c r="D39" s="10">
        <f>B39*3.3/100</f>
        <v>0.82499999999999996</v>
      </c>
      <c r="E39" s="7">
        <f>B39*62.1/100</f>
        <v>15.525</v>
      </c>
      <c r="F39" s="10">
        <f>B39*335/100</f>
        <v>83.75</v>
      </c>
      <c r="G39" s="5">
        <v>75</v>
      </c>
      <c r="H39" s="5"/>
      <c r="I39" s="1"/>
    </row>
    <row r="40" spans="1:9">
      <c r="A40" s="1" t="s">
        <v>151</v>
      </c>
      <c r="B40" s="7">
        <v>2</v>
      </c>
      <c r="C40" s="10">
        <f>B40*0.7/100</f>
        <v>1.3999999999999999E-2</v>
      </c>
      <c r="D40" s="10">
        <f t="shared" si="2"/>
        <v>1.45</v>
      </c>
      <c r="E40" s="7">
        <f>B40*1/100</f>
        <v>0.02</v>
      </c>
      <c r="F40" s="10">
        <f>B40*709/100</f>
        <v>14.18</v>
      </c>
      <c r="G40" s="5"/>
      <c r="H40" s="5"/>
      <c r="I40" s="1"/>
    </row>
    <row r="41" spans="1:9">
      <c r="A41" s="2" t="s">
        <v>14</v>
      </c>
      <c r="B41" s="5"/>
      <c r="C41" s="5">
        <f>C39+C40</f>
        <v>3.1639999999999997</v>
      </c>
      <c r="D41" s="5">
        <f>D39+D40</f>
        <v>2.2749999999999999</v>
      </c>
      <c r="E41" s="5">
        <f>E39+E40</f>
        <v>15.545</v>
      </c>
      <c r="F41" s="5">
        <f>F39+F40</f>
        <v>97.93</v>
      </c>
      <c r="G41" s="5"/>
      <c r="H41" s="5"/>
      <c r="I41" s="1" t="s">
        <v>253</v>
      </c>
    </row>
    <row r="42" spans="1:9">
      <c r="A42" s="1" t="s">
        <v>254</v>
      </c>
      <c r="B42" s="5">
        <v>180</v>
      </c>
      <c r="C42" s="5">
        <f>B42*0.5/100</f>
        <v>0.9</v>
      </c>
      <c r="D42" s="5">
        <f>B42*0/100</f>
        <v>0</v>
      </c>
      <c r="E42" s="5">
        <f>B42*9.1/100</f>
        <v>16.38</v>
      </c>
      <c r="F42" s="5">
        <f>B42*38/100</f>
        <v>68.400000000000006</v>
      </c>
      <c r="G42" s="5">
        <v>180</v>
      </c>
      <c r="H42" s="5"/>
      <c r="I42" s="1"/>
    </row>
    <row r="43" spans="1:9">
      <c r="A43" s="2" t="s">
        <v>333</v>
      </c>
      <c r="B43" s="5"/>
      <c r="C43" s="5"/>
      <c r="D43" s="5"/>
      <c r="E43" s="5"/>
      <c r="F43" s="5"/>
      <c r="G43" s="5"/>
      <c r="H43" s="5"/>
      <c r="I43" s="1"/>
    </row>
    <row r="44" spans="1:9">
      <c r="A44" s="3" t="s">
        <v>325</v>
      </c>
      <c r="B44" s="10">
        <v>30</v>
      </c>
      <c r="C44" s="10">
        <f>B44*0.8/100</f>
        <v>0.24</v>
      </c>
      <c r="D44" s="10">
        <f>B44*0.1/100</f>
        <v>0.03</v>
      </c>
      <c r="E44" s="10">
        <f>B44*3.4/100</f>
        <v>1.02</v>
      </c>
      <c r="F44" s="10">
        <f>B44*14/100</f>
        <v>4.2</v>
      </c>
      <c r="G44" s="5"/>
      <c r="H44" s="5"/>
      <c r="I44" s="1"/>
    </row>
    <row r="45" spans="1:9">
      <c r="A45" s="3" t="s">
        <v>264</v>
      </c>
      <c r="B45" s="10">
        <v>30</v>
      </c>
      <c r="C45" s="10">
        <f>B45*0.8/100</f>
        <v>0.24</v>
      </c>
      <c r="D45" s="10">
        <f>B45*0.1/100</f>
        <v>0.03</v>
      </c>
      <c r="E45" s="10">
        <f>B45*3.4/100</f>
        <v>1.02</v>
      </c>
      <c r="F45" s="10">
        <f>B45*14/100</f>
        <v>4.2</v>
      </c>
      <c r="G45" s="5"/>
      <c r="H45" s="7"/>
      <c r="I45" s="1"/>
    </row>
    <row r="46" spans="1:9">
      <c r="A46" s="3" t="s">
        <v>330</v>
      </c>
      <c r="B46" s="10">
        <v>10</v>
      </c>
      <c r="C46" s="10">
        <f>B46*1.3/100</f>
        <v>0.13</v>
      </c>
      <c r="D46" s="10">
        <f>B46*0/100</f>
        <v>0</v>
      </c>
      <c r="E46" s="10">
        <f>B46*3.5/100</f>
        <v>0.35</v>
      </c>
      <c r="F46" s="10">
        <f>B46*19/100</f>
        <v>1.9</v>
      </c>
      <c r="G46" s="5"/>
      <c r="H46" s="5"/>
      <c r="I46" s="1" t="s">
        <v>263</v>
      </c>
    </row>
    <row r="47" spans="1:9">
      <c r="A47" s="3" t="s">
        <v>327</v>
      </c>
      <c r="B47" s="7">
        <v>5</v>
      </c>
      <c r="C47" s="7">
        <f>B47*0/100</f>
        <v>0</v>
      </c>
      <c r="D47" s="7">
        <f>B47*99.9/100</f>
        <v>4.9950000000000001</v>
      </c>
      <c r="E47" s="7">
        <f>B47*0/100</f>
        <v>0</v>
      </c>
      <c r="F47" s="7">
        <f>B47*899/100</f>
        <v>44.95</v>
      </c>
      <c r="G47" s="5"/>
      <c r="H47" s="5"/>
      <c r="I47" s="1"/>
    </row>
    <row r="48" spans="1:9">
      <c r="A48" s="2" t="s">
        <v>14</v>
      </c>
      <c r="B48" s="5"/>
      <c r="C48" s="5">
        <f>C44+C45+C46+C47</f>
        <v>0.61</v>
      </c>
      <c r="D48" s="5">
        <f>D44+D45+D46+D47</f>
        <v>5.0549999999999997</v>
      </c>
      <c r="E48" s="5">
        <f>E44+E45+E46+E47</f>
        <v>2.39</v>
      </c>
      <c r="F48" s="5">
        <f>F44+F45+F46+F47</f>
        <v>55.25</v>
      </c>
      <c r="G48" s="5">
        <v>65</v>
      </c>
      <c r="H48" s="5"/>
      <c r="I48" s="1"/>
    </row>
    <row r="49" spans="1:9">
      <c r="A49" s="1" t="s">
        <v>32</v>
      </c>
      <c r="B49" s="5">
        <v>34</v>
      </c>
      <c r="C49" s="5">
        <f>B49*6.6/100</f>
        <v>2.2439999999999998</v>
      </c>
      <c r="D49" s="5">
        <f>B49*1.2/100</f>
        <v>0.40799999999999997</v>
      </c>
      <c r="E49" s="5">
        <f>B49*34.2/100</f>
        <v>11.628000000000002</v>
      </c>
      <c r="F49" s="5">
        <f>B49*181/100</f>
        <v>61.54</v>
      </c>
      <c r="G49" s="5">
        <v>34</v>
      </c>
      <c r="H49" s="5"/>
      <c r="I49" s="1"/>
    </row>
    <row r="50" spans="1:9">
      <c r="A50" s="2" t="s">
        <v>76</v>
      </c>
      <c r="B50" s="5"/>
      <c r="C50" s="5">
        <f>C28+C38+C41+C42+C49</f>
        <v>28.57</v>
      </c>
      <c r="D50" s="5">
        <f>D28+D38+D41+D47+D49</f>
        <v>27.607000000000003</v>
      </c>
      <c r="E50" s="5">
        <f>E28+E38+E41+E42+E47+E49</f>
        <v>67.739999999999995</v>
      </c>
      <c r="F50" s="5">
        <f>F28+F38+F41+F42+F47+F49</f>
        <v>637.44000000000005</v>
      </c>
      <c r="G50" s="5">
        <v>574</v>
      </c>
      <c r="H50" s="5"/>
      <c r="I50" s="1"/>
    </row>
    <row r="51" spans="1:9">
      <c r="A51" s="1" t="s">
        <v>196</v>
      </c>
      <c r="B51" s="7">
        <v>2.2999999999999998</v>
      </c>
      <c r="C51" s="10"/>
      <c r="D51" s="10"/>
      <c r="E51" s="7"/>
      <c r="F51" s="10"/>
      <c r="G51" s="5"/>
      <c r="H51" s="5"/>
      <c r="I51" s="1"/>
    </row>
    <row r="52" spans="1:9">
      <c r="A52" s="2" t="s">
        <v>276</v>
      </c>
      <c r="B52" s="7"/>
      <c r="C52" s="10"/>
      <c r="D52" s="10"/>
      <c r="E52" s="7"/>
      <c r="F52" s="10"/>
      <c r="G52" s="5"/>
      <c r="H52" s="5"/>
      <c r="I52" s="1"/>
    </row>
    <row r="53" spans="1:9">
      <c r="A53" s="2" t="s">
        <v>310</v>
      </c>
      <c r="B53" s="7"/>
      <c r="C53" s="10"/>
      <c r="D53" s="10"/>
      <c r="E53" s="7"/>
      <c r="F53" s="10"/>
      <c r="G53" s="5"/>
      <c r="H53" s="5"/>
      <c r="I53" s="1"/>
    </row>
    <row r="54" spans="1:9">
      <c r="A54" s="1" t="s">
        <v>11</v>
      </c>
      <c r="B54" s="7">
        <v>0.5</v>
      </c>
      <c r="C54" s="7">
        <f>B54*0/100</f>
        <v>0</v>
      </c>
      <c r="D54" s="7">
        <f>B54*0/100</f>
        <v>0</v>
      </c>
      <c r="E54" s="7">
        <f>B54*0/100</f>
        <v>0</v>
      </c>
      <c r="F54" s="7">
        <f>B54*0/100</f>
        <v>0</v>
      </c>
      <c r="G54" s="5"/>
      <c r="H54" s="5"/>
      <c r="I54" s="1"/>
    </row>
    <row r="55" spans="1:9">
      <c r="A55" s="1" t="s">
        <v>9</v>
      </c>
      <c r="B55" s="8">
        <v>5</v>
      </c>
      <c r="C55" s="7">
        <f>B55*0/100</f>
        <v>0</v>
      </c>
      <c r="D55" s="7">
        <f>B55*0/100</f>
        <v>0</v>
      </c>
      <c r="E55" s="7">
        <f>B55*99.8/100</f>
        <v>4.99</v>
      </c>
      <c r="F55" s="7">
        <f>B55*379/100</f>
        <v>18.95</v>
      </c>
      <c r="G55" s="5">
        <v>150</v>
      </c>
      <c r="H55" s="5"/>
      <c r="I55" s="1" t="s">
        <v>199</v>
      </c>
    </row>
    <row r="56" spans="1:9">
      <c r="A56" s="2" t="s">
        <v>14</v>
      </c>
      <c r="B56" s="5"/>
      <c r="C56" s="5">
        <v>0</v>
      </c>
      <c r="D56" s="5">
        <v>0</v>
      </c>
      <c r="E56" s="5">
        <f>E55</f>
        <v>4.99</v>
      </c>
      <c r="F56" s="5">
        <f>F55</f>
        <v>18.95</v>
      </c>
      <c r="G56" s="5"/>
      <c r="H56" s="5"/>
      <c r="I56" s="1"/>
    </row>
    <row r="57" spans="1:9" ht="19.5" customHeight="1">
      <c r="A57" s="2" t="s">
        <v>311</v>
      </c>
      <c r="B57" s="7"/>
      <c r="C57" s="10"/>
      <c r="D57" s="10"/>
      <c r="E57" s="7"/>
      <c r="F57" s="10"/>
      <c r="G57" s="5"/>
      <c r="H57" s="5"/>
      <c r="I57" s="1"/>
    </row>
    <row r="58" spans="1:9">
      <c r="A58" s="3" t="s">
        <v>48</v>
      </c>
      <c r="B58" s="8">
        <v>35</v>
      </c>
      <c r="C58" s="7">
        <f>B58*10.3/100</f>
        <v>3.605</v>
      </c>
      <c r="D58" s="7">
        <f>B58*1.1/100</f>
        <v>0.38500000000000001</v>
      </c>
      <c r="E58" s="7">
        <f>B58*69/100</f>
        <v>24.15</v>
      </c>
      <c r="F58" s="7">
        <f>B58*334/100</f>
        <v>116.9</v>
      </c>
      <c r="G58" s="5"/>
      <c r="H58" s="5"/>
      <c r="I58" s="1"/>
    </row>
    <row r="59" spans="1:9">
      <c r="A59" s="3" t="s">
        <v>7</v>
      </c>
      <c r="B59" s="7">
        <v>25</v>
      </c>
      <c r="C59" s="7">
        <f>B59*2.8/100</f>
        <v>0.7</v>
      </c>
      <c r="D59" s="7">
        <f>B59*3.5/100</f>
        <v>0.875</v>
      </c>
      <c r="E59" s="7">
        <f>B59*4.7/100</f>
        <v>1.175</v>
      </c>
      <c r="F59" s="7">
        <f>B59*61/100</f>
        <v>15.25</v>
      </c>
      <c r="G59" s="7"/>
      <c r="H59" s="7"/>
      <c r="I59" s="1"/>
    </row>
    <row r="60" spans="1:9">
      <c r="A60" s="3" t="s">
        <v>8</v>
      </c>
      <c r="B60" s="8">
        <v>3</v>
      </c>
      <c r="C60" s="7">
        <f>B60*0.7/100</f>
        <v>2.0999999999999998E-2</v>
      </c>
      <c r="D60" s="7">
        <f>B60*372.5/100</f>
        <v>11.175000000000001</v>
      </c>
      <c r="E60" s="7">
        <f>B60*1/100</f>
        <v>0.03</v>
      </c>
      <c r="F60" s="7">
        <f>B60*709/100</f>
        <v>21.27</v>
      </c>
      <c r="G60" s="7"/>
      <c r="H60" s="7"/>
      <c r="I60" s="1"/>
    </row>
    <row r="61" spans="1:9">
      <c r="A61" s="3" t="s">
        <v>57</v>
      </c>
      <c r="B61" s="7">
        <v>2</v>
      </c>
      <c r="C61" s="7">
        <f>B61*0/100</f>
        <v>0</v>
      </c>
      <c r="D61" s="7">
        <f>B61*99.9/100</f>
        <v>1.9980000000000002</v>
      </c>
      <c r="E61" s="7">
        <f>B61*0/100</f>
        <v>0</v>
      </c>
      <c r="F61" s="7">
        <f>B61*899/100</f>
        <v>17.98</v>
      </c>
      <c r="G61" s="7"/>
      <c r="H61" s="7"/>
      <c r="I61" s="1"/>
    </row>
    <row r="62" spans="1:9">
      <c r="A62" s="3" t="s">
        <v>9</v>
      </c>
      <c r="B62" s="8">
        <v>7</v>
      </c>
      <c r="C62" s="7">
        <f>B62*0/100</f>
        <v>0</v>
      </c>
      <c r="D62" s="7">
        <f>B62*0/100</f>
        <v>0</v>
      </c>
      <c r="E62" s="7">
        <f>B62*99.8/100</f>
        <v>6.9860000000000007</v>
      </c>
      <c r="F62" s="7">
        <f>B62*379/100</f>
        <v>26.53</v>
      </c>
      <c r="G62" s="7"/>
      <c r="H62" s="7"/>
      <c r="I62" s="1"/>
    </row>
    <row r="63" spans="1:9">
      <c r="A63" s="3" t="s">
        <v>279</v>
      </c>
      <c r="B63" s="10">
        <v>1</v>
      </c>
      <c r="C63" s="10">
        <v>0</v>
      </c>
      <c r="D63" s="10">
        <v>0</v>
      </c>
      <c r="E63" s="10">
        <v>0</v>
      </c>
      <c r="F63" s="10">
        <v>0</v>
      </c>
      <c r="G63" s="5"/>
      <c r="H63" s="5"/>
      <c r="I63" s="1"/>
    </row>
    <row r="64" spans="1:9">
      <c r="A64" s="3" t="s">
        <v>21</v>
      </c>
      <c r="B64" s="8">
        <v>18</v>
      </c>
      <c r="C64" s="7">
        <f>B64*12.7/40</f>
        <v>5.7149999999999999</v>
      </c>
      <c r="D64" s="7">
        <f>B64*11.5/40</f>
        <v>5.1749999999999998</v>
      </c>
      <c r="E64" s="7">
        <f>B64*0.7/40</f>
        <v>0.315</v>
      </c>
      <c r="F64" s="7">
        <f>B64*157/40</f>
        <v>70.650000000000006</v>
      </c>
      <c r="G64" s="7"/>
      <c r="H64" s="7"/>
      <c r="I64" s="1"/>
    </row>
    <row r="65" spans="1:9">
      <c r="A65" s="3" t="s">
        <v>312</v>
      </c>
      <c r="B65" s="8">
        <v>25</v>
      </c>
      <c r="C65" s="7">
        <f>B65*1.8/100</f>
        <v>0.45</v>
      </c>
      <c r="D65" s="7">
        <f>B65*0.1/100</f>
        <v>2.5000000000000001E-2</v>
      </c>
      <c r="E65" s="7">
        <f>B65*4.7/100</f>
        <v>1.175</v>
      </c>
      <c r="F65" s="7">
        <f>B65*27/100</f>
        <v>6.75</v>
      </c>
      <c r="G65" s="7"/>
      <c r="H65" s="7"/>
      <c r="I65" s="1"/>
    </row>
    <row r="66" spans="1:9">
      <c r="A66" s="2" t="s">
        <v>14</v>
      </c>
      <c r="B66" s="5"/>
      <c r="C66" s="5">
        <f>C58+C59+C60+C61+C62+C63+C64+C65</f>
        <v>10.491</v>
      </c>
      <c r="D66" s="5">
        <f>D58+D59+D60+D61+D62+D63+D64+D65</f>
        <v>19.632999999999999</v>
      </c>
      <c r="E66" s="5">
        <f>E58+E59+E60+E61+E62+E63+E64+E65</f>
        <v>33.830999999999996</v>
      </c>
      <c r="F66" s="5">
        <f>F58+F59+F60+F61+F62+F63+F64+F65</f>
        <v>275.33000000000004</v>
      </c>
      <c r="G66" s="5">
        <v>90</v>
      </c>
      <c r="H66" s="5"/>
      <c r="I66" s="1"/>
    </row>
    <row r="67" spans="1:9">
      <c r="A67" s="2" t="s">
        <v>282</v>
      </c>
      <c r="B67" s="5"/>
      <c r="C67" s="5">
        <f>C66</f>
        <v>10.491</v>
      </c>
      <c r="D67" s="5">
        <f>D66</f>
        <v>19.632999999999999</v>
      </c>
      <c r="E67" s="5">
        <f>E56+E66</f>
        <v>38.820999999999998</v>
      </c>
      <c r="F67" s="5">
        <f>F56+F66</f>
        <v>294.28000000000003</v>
      </c>
      <c r="G67" s="5">
        <v>240</v>
      </c>
      <c r="H67" s="5"/>
      <c r="I67" s="1" t="s">
        <v>313</v>
      </c>
    </row>
    <row r="68" spans="1:9">
      <c r="A68" s="2" t="s">
        <v>280</v>
      </c>
      <c r="B68" s="7"/>
      <c r="C68" s="5">
        <f>C16+C18+C50+C67</f>
        <v>56.168999999999997</v>
      </c>
      <c r="D68" s="5">
        <f>D16+D18+D50+D67</f>
        <v>66.554999999999993</v>
      </c>
      <c r="E68" s="5">
        <f>E16+E18+E50+E67</f>
        <v>176.482</v>
      </c>
      <c r="F68" s="5">
        <f>F16+F18+F50+F67</f>
        <v>1460.8799999999999</v>
      </c>
      <c r="G68" s="5"/>
      <c r="H68" s="5"/>
      <c r="I68" s="1"/>
    </row>
    <row r="69" spans="1:9">
      <c r="A69" s="1"/>
      <c r="B69" s="7"/>
      <c r="C69" s="10"/>
      <c r="D69" s="10"/>
      <c r="E69" s="7"/>
      <c r="F69" s="10"/>
      <c r="G69" s="5"/>
      <c r="H69" s="5"/>
      <c r="I69" s="1"/>
    </row>
    <row r="70" spans="1:9">
      <c r="A70" s="1" t="s">
        <v>315</v>
      </c>
      <c r="B70" s="7"/>
      <c r="C70" s="10"/>
      <c r="D70" s="10"/>
      <c r="E70" s="7"/>
      <c r="F70" s="10"/>
      <c r="G70" s="5"/>
      <c r="H70" s="5"/>
      <c r="I70" s="1"/>
    </row>
    <row r="71" spans="1:9">
      <c r="A71" s="1"/>
      <c r="B71" s="7"/>
      <c r="C71" s="10"/>
      <c r="D71" s="10"/>
      <c r="E71" s="7"/>
      <c r="F71" s="10"/>
      <c r="G71" s="5"/>
      <c r="H71" s="5"/>
      <c r="I71" s="1"/>
    </row>
  </sheetData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Леночка</cp:lastModifiedBy>
  <cp:lastPrinted>2021-03-01T08:05:39Z</cp:lastPrinted>
  <dcterms:created xsi:type="dcterms:W3CDTF">2021-02-16T06:31:48Z</dcterms:created>
  <dcterms:modified xsi:type="dcterms:W3CDTF">2021-10-14T12:14:59Z</dcterms:modified>
</cp:coreProperties>
</file>